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 activeTab="18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 s="1"/>
  <c r="E92" i="22"/>
  <c r="D92" i="22"/>
  <c r="C92" i="22"/>
  <c r="E91" i="22"/>
  <c r="E93" i="22" s="1"/>
  <c r="D91" i="22"/>
  <c r="D93" i="22"/>
  <c r="C91" i="22"/>
  <c r="C93" i="22" s="1"/>
  <c r="E87" i="22"/>
  <c r="D87" i="22"/>
  <c r="C87" i="22"/>
  <c r="C88" i="22" s="1"/>
  <c r="E86" i="22"/>
  <c r="E88" i="22"/>
  <c r="D86" i="22"/>
  <c r="D88" i="22" s="1"/>
  <c r="C86" i="22"/>
  <c r="E83" i="22"/>
  <c r="E101" i="22"/>
  <c r="E103" i="22" s="1"/>
  <c r="D83" i="22"/>
  <c r="D102" i="22"/>
  <c r="C83" i="22"/>
  <c r="C101" i="22" s="1"/>
  <c r="E76" i="22"/>
  <c r="D76" i="22"/>
  <c r="C76" i="22"/>
  <c r="E75" i="22"/>
  <c r="E77" i="22" s="1"/>
  <c r="E110" i="22" s="1"/>
  <c r="D75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C12" i="22"/>
  <c r="C33" i="22"/>
  <c r="D21" i="21"/>
  <c r="C21" i="21"/>
  <c r="E21" i="21" s="1"/>
  <c r="F21" i="21" s="1"/>
  <c r="D19" i="21"/>
  <c r="E19" i="21"/>
  <c r="C19" i="21"/>
  <c r="E17" i="21"/>
  <c r="F17" i="21" s="1"/>
  <c r="E15" i="21"/>
  <c r="F15" i="21" s="1"/>
  <c r="D45" i="20"/>
  <c r="E45" i="20" s="1"/>
  <c r="F45" i="20"/>
  <c r="C45" i="20"/>
  <c r="D44" i="20"/>
  <c r="E44" i="20" s="1"/>
  <c r="E46" i="20" s="1"/>
  <c r="F46" i="20" s="1"/>
  <c r="C44" i="20"/>
  <c r="D43" i="20"/>
  <c r="D46" i="20" s="1"/>
  <c r="C43" i="20"/>
  <c r="C46" i="20" s="1"/>
  <c r="D36" i="20"/>
  <c r="D40" i="20"/>
  <c r="E40" i="20" s="1"/>
  <c r="C36" i="20"/>
  <c r="C40" i="20"/>
  <c r="E35" i="20"/>
  <c r="F35" i="20" s="1"/>
  <c r="E34" i="20"/>
  <c r="F33" i="20"/>
  <c r="E33" i="20"/>
  <c r="E30" i="20"/>
  <c r="F30" i="20" s="1"/>
  <c r="E29" i="20"/>
  <c r="F29" i="20" s="1"/>
  <c r="F28" i="20"/>
  <c r="E28" i="20"/>
  <c r="E27" i="20"/>
  <c r="F27" i="20" s="1"/>
  <c r="D25" i="20"/>
  <c r="D39" i="20"/>
  <c r="C25" i="20"/>
  <c r="C39" i="20"/>
  <c r="F24" i="20"/>
  <c r="E24" i="20"/>
  <c r="E23" i="20"/>
  <c r="F23" i="20" s="1"/>
  <c r="E22" i="20"/>
  <c r="D19" i="20"/>
  <c r="D20" i="20" s="1"/>
  <c r="C19" i="20"/>
  <c r="C20" i="20" s="1"/>
  <c r="F18" i="20"/>
  <c r="E18" i="20"/>
  <c r="D16" i="20"/>
  <c r="E16" i="20"/>
  <c r="C16" i="20"/>
  <c r="F16" i="20" s="1"/>
  <c r="F15" i="20"/>
  <c r="E15" i="20"/>
  <c r="F13" i="20"/>
  <c r="E13" i="20"/>
  <c r="F12" i="20"/>
  <c r="E12" i="20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2" i="19"/>
  <c r="C33" i="19"/>
  <c r="C21" i="19"/>
  <c r="C37" i="19" s="1"/>
  <c r="E328" i="18"/>
  <c r="E325" i="18"/>
  <c r="D324" i="18"/>
  <c r="E324" i="18" s="1"/>
  <c r="D326" i="18"/>
  <c r="E326" i="18" s="1"/>
  <c r="C324" i="18"/>
  <c r="C326" i="18"/>
  <c r="C330" i="18"/>
  <c r="E318" i="18"/>
  <c r="E315" i="18"/>
  <c r="D314" i="18"/>
  <c r="D316" i="18"/>
  <c r="C314" i="18"/>
  <c r="E308" i="18"/>
  <c r="E305" i="18"/>
  <c r="D301" i="18"/>
  <c r="C301" i="18"/>
  <c r="D293" i="18"/>
  <c r="E293" i="18" s="1"/>
  <c r="C293" i="18"/>
  <c r="D292" i="18"/>
  <c r="C292" i="18"/>
  <c r="E292" i="18"/>
  <c r="D291" i="18"/>
  <c r="C291" i="18"/>
  <c r="E291" i="18" s="1"/>
  <c r="D290" i="18"/>
  <c r="C290" i="18"/>
  <c r="E290" i="18"/>
  <c r="D288" i="18"/>
  <c r="C288" i="18"/>
  <c r="E288" i="18" s="1"/>
  <c r="D287" i="18"/>
  <c r="E287" i="18"/>
  <c r="C287" i="18"/>
  <c r="D282" i="18"/>
  <c r="E282" i="18" s="1"/>
  <c r="C282" i="18"/>
  <c r="D281" i="18"/>
  <c r="C281" i="18"/>
  <c r="D280" i="18"/>
  <c r="E280" i="18" s="1"/>
  <c r="C280" i="18"/>
  <c r="D279" i="18"/>
  <c r="C279" i="18"/>
  <c r="D278" i="18"/>
  <c r="C278" i="18"/>
  <c r="E278" i="18"/>
  <c r="D277" i="18"/>
  <c r="C277" i="18"/>
  <c r="E277" i="18" s="1"/>
  <c r="D276" i="18"/>
  <c r="C276" i="18"/>
  <c r="E276" i="18" s="1"/>
  <c r="E270" i="18"/>
  <c r="D265" i="18"/>
  <c r="D302" i="18" s="1"/>
  <c r="C265" i="18"/>
  <c r="C302" i="18"/>
  <c r="D262" i="18"/>
  <c r="C262" i="18"/>
  <c r="E262" i="18" s="1"/>
  <c r="D251" i="18"/>
  <c r="C251" i="18"/>
  <c r="D233" i="18"/>
  <c r="C233" i="18"/>
  <c r="D232" i="18"/>
  <c r="C232" i="18"/>
  <c r="D231" i="18"/>
  <c r="C231" i="18"/>
  <c r="D230" i="18"/>
  <c r="C230" i="18"/>
  <c r="E230" i="18" s="1"/>
  <c r="D228" i="18"/>
  <c r="E228" i="18"/>
  <c r="C228" i="18"/>
  <c r="D227" i="18"/>
  <c r="C227" i="18"/>
  <c r="D221" i="18"/>
  <c r="C221" i="18"/>
  <c r="C245" i="18" s="1"/>
  <c r="D220" i="18"/>
  <c r="D244" i="18" s="1"/>
  <c r="E244" i="18" s="1"/>
  <c r="C220" i="18"/>
  <c r="C244" i="18" s="1"/>
  <c r="D219" i="18"/>
  <c r="D217" i="18"/>
  <c r="C219" i="18"/>
  <c r="C243" i="18"/>
  <c r="D218" i="18"/>
  <c r="D242" i="18"/>
  <c r="C218" i="18"/>
  <c r="D216" i="18"/>
  <c r="D240" i="18"/>
  <c r="C216" i="18"/>
  <c r="C240" i="18" s="1"/>
  <c r="D215" i="18"/>
  <c r="C215" i="18"/>
  <c r="C239" i="18"/>
  <c r="E209" i="18"/>
  <c r="E208" i="18"/>
  <c r="E207" i="18"/>
  <c r="E206" i="18"/>
  <c r="D205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D189" i="18" s="1"/>
  <c r="D261" i="18"/>
  <c r="C188" i="18"/>
  <c r="E186" i="18"/>
  <c r="E185" i="18"/>
  <c r="D179" i="18"/>
  <c r="E179" i="18"/>
  <c r="C179" i="18"/>
  <c r="D178" i="18"/>
  <c r="C178" i="18"/>
  <c r="E178" i="18"/>
  <c r="D177" i="18"/>
  <c r="E177" i="18" s="1"/>
  <c r="C177" i="18"/>
  <c r="D176" i="18"/>
  <c r="C176" i="18"/>
  <c r="E176" i="18"/>
  <c r="D174" i="18"/>
  <c r="C174" i="18"/>
  <c r="D173" i="18"/>
  <c r="E173" i="18"/>
  <c r="C173" i="18"/>
  <c r="D167" i="18"/>
  <c r="C167" i="18"/>
  <c r="E167" i="18"/>
  <c r="D166" i="18"/>
  <c r="E166" i="18" s="1"/>
  <c r="C166" i="18"/>
  <c r="D165" i="18"/>
  <c r="C165" i="18"/>
  <c r="E165" i="18"/>
  <c r="D164" i="18"/>
  <c r="C164" i="18"/>
  <c r="D162" i="18"/>
  <c r="C162" i="18"/>
  <c r="E162" i="18" s="1"/>
  <c r="D161" i="18"/>
  <c r="C161" i="18"/>
  <c r="E161" i="18"/>
  <c r="E155" i="18"/>
  <c r="E154" i="18"/>
  <c r="E153" i="18"/>
  <c r="E152" i="18"/>
  <c r="D151" i="18"/>
  <c r="D156" i="18"/>
  <c r="C151" i="18"/>
  <c r="C163" i="18" s="1"/>
  <c r="E150" i="18"/>
  <c r="E149" i="18"/>
  <c r="E143" i="18"/>
  <c r="E142" i="18"/>
  <c r="E141" i="18"/>
  <c r="E140" i="18"/>
  <c r="D139" i="18"/>
  <c r="C139" i="18"/>
  <c r="E138" i="18"/>
  <c r="E137" i="18"/>
  <c r="D75" i="18"/>
  <c r="E75" i="18"/>
  <c r="C75" i="18"/>
  <c r="D74" i="18"/>
  <c r="C74" i="18"/>
  <c r="E74" i="18"/>
  <c r="D73" i="18"/>
  <c r="E73" i="18"/>
  <c r="C73" i="18"/>
  <c r="D72" i="18"/>
  <c r="E72" i="18" s="1"/>
  <c r="C72" i="18"/>
  <c r="D70" i="18"/>
  <c r="C70" i="18"/>
  <c r="D69" i="18"/>
  <c r="C69" i="18"/>
  <c r="C77" i="18" s="1"/>
  <c r="E64" i="18"/>
  <c r="E63" i="18"/>
  <c r="E62" i="18"/>
  <c r="E61" i="18"/>
  <c r="D60" i="18"/>
  <c r="D289" i="18" s="1"/>
  <c r="C60" i="18"/>
  <c r="E59" i="18"/>
  <c r="E58" i="18"/>
  <c r="D54" i="18"/>
  <c r="C54" i="18"/>
  <c r="C55" i="18"/>
  <c r="E53" i="18"/>
  <c r="E52" i="18"/>
  <c r="E51" i="18"/>
  <c r="E50" i="18"/>
  <c r="E49" i="18"/>
  <c r="E48" i="18"/>
  <c r="E47" i="18"/>
  <c r="D42" i="18"/>
  <c r="E42" i="18"/>
  <c r="C42" i="18"/>
  <c r="D41" i="18"/>
  <c r="C41" i="18"/>
  <c r="E41" i="18" s="1"/>
  <c r="D40" i="18"/>
  <c r="E40" i="18"/>
  <c r="C40" i="18"/>
  <c r="D39" i="18"/>
  <c r="E39" i="18" s="1"/>
  <c r="C39" i="18"/>
  <c r="D38" i="18"/>
  <c r="E38" i="18" s="1"/>
  <c r="C38" i="18"/>
  <c r="D37" i="18"/>
  <c r="D43" i="18"/>
  <c r="C37" i="18"/>
  <c r="C43" i="18" s="1"/>
  <c r="D36" i="18"/>
  <c r="C36" i="18"/>
  <c r="C33" i="18"/>
  <c r="D32" i="18"/>
  <c r="C32" i="18"/>
  <c r="E31" i="18"/>
  <c r="E30" i="18"/>
  <c r="E29" i="18"/>
  <c r="E28" i="18"/>
  <c r="E27" i="18"/>
  <c r="E26" i="18"/>
  <c r="E25" i="18"/>
  <c r="D21" i="18"/>
  <c r="D22" i="18" s="1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F331" i="17"/>
  <c r="E331" i="17"/>
  <c r="F330" i="17"/>
  <c r="E330" i="17"/>
  <c r="E329" i="17"/>
  <c r="F329" i="17" s="1"/>
  <c r="F316" i="17"/>
  <c r="E316" i="17"/>
  <c r="F311" i="17"/>
  <c r="D311" i="17"/>
  <c r="E311" i="17" s="1"/>
  <c r="C311" i="17"/>
  <c r="E308" i="17"/>
  <c r="F308" i="17" s="1"/>
  <c r="D307" i="17"/>
  <c r="C307" i="17"/>
  <c r="E307" i="17" s="1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C306" i="17"/>
  <c r="E306" i="17" s="1"/>
  <c r="E249" i="17"/>
  <c r="F249" i="17" s="1"/>
  <c r="F248" i="17"/>
  <c r="E248" i="17"/>
  <c r="F245" i="17"/>
  <c r="E245" i="17"/>
  <c r="E244" i="17"/>
  <c r="F244" i="17" s="1"/>
  <c r="E243" i="17"/>
  <c r="F243" i="17" s="1"/>
  <c r="D238" i="17"/>
  <c r="C238" i="17"/>
  <c r="C239" i="17" s="1"/>
  <c r="D237" i="17"/>
  <c r="E237" i="17" s="1"/>
  <c r="C237" i="17"/>
  <c r="F237" i="17" s="1"/>
  <c r="E234" i="17"/>
  <c r="F234" i="17" s="1"/>
  <c r="F233" i="17"/>
  <c r="E233" i="17"/>
  <c r="D230" i="17"/>
  <c r="E230" i="17" s="1"/>
  <c r="C230" i="17"/>
  <c r="F230" i="17" s="1"/>
  <c r="D229" i="17"/>
  <c r="C229" i="17"/>
  <c r="E229" i="17" s="1"/>
  <c r="F228" i="17"/>
  <c r="E228" i="17"/>
  <c r="D226" i="17"/>
  <c r="C226" i="17"/>
  <c r="C227" i="17" s="1"/>
  <c r="E225" i="17"/>
  <c r="F225" i="17" s="1"/>
  <c r="E224" i="17"/>
  <c r="F224" i="17" s="1"/>
  <c r="D223" i="17"/>
  <c r="E223" i="17" s="1"/>
  <c r="C223" i="17"/>
  <c r="F223" i="17" s="1"/>
  <c r="F222" i="17"/>
  <c r="E222" i="17"/>
  <c r="E221" i="17"/>
  <c r="F221" i="17" s="1"/>
  <c r="D204" i="17"/>
  <c r="C204" i="17"/>
  <c r="D203" i="17"/>
  <c r="C203" i="17"/>
  <c r="D198" i="17"/>
  <c r="D200" i="17" s="1"/>
  <c r="C198" i="17"/>
  <c r="D191" i="17"/>
  <c r="C191" i="17"/>
  <c r="C280" i="17"/>
  <c r="D189" i="17"/>
  <c r="C189" i="17"/>
  <c r="C278" i="17"/>
  <c r="D188" i="17"/>
  <c r="C188" i="17"/>
  <c r="C277" i="17" s="1"/>
  <c r="F180" i="17"/>
  <c r="D180" i="17"/>
  <c r="E180" i="17"/>
  <c r="C180" i="17"/>
  <c r="D179" i="17"/>
  <c r="C179" i="17"/>
  <c r="F179" i="17" s="1"/>
  <c r="D171" i="17"/>
  <c r="D172" i="17"/>
  <c r="C171" i="17"/>
  <c r="C172" i="17"/>
  <c r="D170" i="17"/>
  <c r="C170" i="17"/>
  <c r="E170" i="17"/>
  <c r="F169" i="17"/>
  <c r="E169" i="17"/>
  <c r="F168" i="17"/>
  <c r="E168" i="17"/>
  <c r="D165" i="17"/>
  <c r="C165" i="17"/>
  <c r="E165" i="17" s="1"/>
  <c r="D164" i="17"/>
  <c r="C164" i="17"/>
  <c r="E164" i="17" s="1"/>
  <c r="F163" i="17"/>
  <c r="E163" i="17"/>
  <c r="D158" i="17"/>
  <c r="D159" i="17"/>
  <c r="E159" i="17" s="1"/>
  <c r="C158" i="17"/>
  <c r="C159" i="17"/>
  <c r="F159" i="17"/>
  <c r="F157" i="17"/>
  <c r="E157" i="17"/>
  <c r="F156" i="17"/>
  <c r="E156" i="17"/>
  <c r="D155" i="17"/>
  <c r="C155" i="17"/>
  <c r="E155" i="17"/>
  <c r="F154" i="17"/>
  <c r="E154" i="17"/>
  <c r="F153" i="17"/>
  <c r="E153" i="17"/>
  <c r="D145" i="17"/>
  <c r="C145" i="17"/>
  <c r="C146" i="17" s="1"/>
  <c r="E145" i="17"/>
  <c r="D144" i="17"/>
  <c r="D146" i="17"/>
  <c r="E146" i="17" s="1"/>
  <c r="C144" i="17"/>
  <c r="D136" i="17"/>
  <c r="D137" i="17" s="1"/>
  <c r="C136" i="17"/>
  <c r="C137" i="17"/>
  <c r="D135" i="17"/>
  <c r="C135" i="17"/>
  <c r="E134" i="17"/>
  <c r="F134" i="17"/>
  <c r="E133" i="17"/>
  <c r="F133" i="17"/>
  <c r="D130" i="17"/>
  <c r="C130" i="17"/>
  <c r="D129" i="17"/>
  <c r="C129" i="17"/>
  <c r="E129" i="17"/>
  <c r="E128" i="17"/>
  <c r="F128" i="17"/>
  <c r="D123" i="17"/>
  <c r="D192" i="17"/>
  <c r="C123" i="17"/>
  <c r="E122" i="17"/>
  <c r="F122" i="17"/>
  <c r="E121" i="17"/>
  <c r="F121" i="17" s="1"/>
  <c r="D120" i="17"/>
  <c r="C120" i="17"/>
  <c r="E119" i="17"/>
  <c r="F119" i="17"/>
  <c r="E118" i="17"/>
  <c r="F118" i="17"/>
  <c r="D110" i="17"/>
  <c r="C110" i="17"/>
  <c r="D109" i="17"/>
  <c r="C109" i="17"/>
  <c r="C111" i="17"/>
  <c r="D101" i="17"/>
  <c r="D102" i="17" s="1"/>
  <c r="C101" i="17"/>
  <c r="C102" i="17"/>
  <c r="D100" i="17"/>
  <c r="C100" i="17"/>
  <c r="E99" i="17"/>
  <c r="F99" i="17"/>
  <c r="E98" i="17"/>
  <c r="F98" i="17" s="1"/>
  <c r="D95" i="17"/>
  <c r="C95" i="17"/>
  <c r="D94" i="17"/>
  <c r="C94" i="17"/>
  <c r="E93" i="17"/>
  <c r="F93" i="17" s="1"/>
  <c r="D88" i="17"/>
  <c r="D89" i="17" s="1"/>
  <c r="C88" i="17"/>
  <c r="C89" i="17" s="1"/>
  <c r="E87" i="17"/>
  <c r="F87" i="17" s="1"/>
  <c r="E86" i="17"/>
  <c r="F86" i="17"/>
  <c r="D85" i="17"/>
  <c r="C85" i="17"/>
  <c r="E85" i="17"/>
  <c r="E84" i="17"/>
  <c r="F84" i="17"/>
  <c r="E83" i="17"/>
  <c r="F83" i="17"/>
  <c r="D76" i="17"/>
  <c r="D77" i="17" s="1"/>
  <c r="E77" i="17" s="1"/>
  <c r="C76" i="17"/>
  <c r="C77" i="17" s="1"/>
  <c r="E74" i="17"/>
  <c r="F74" i="17" s="1"/>
  <c r="E73" i="17"/>
  <c r="F73" i="17" s="1"/>
  <c r="D67" i="17"/>
  <c r="C67" i="17"/>
  <c r="E67" i="17" s="1"/>
  <c r="F67" i="17" s="1"/>
  <c r="D66" i="17"/>
  <c r="D68" i="17" s="1"/>
  <c r="C66" i="17"/>
  <c r="D59" i="17"/>
  <c r="D60" i="17"/>
  <c r="C59" i="17"/>
  <c r="C60" i="17"/>
  <c r="D58" i="17"/>
  <c r="E58" i="17" s="1"/>
  <c r="F58" i="17" s="1"/>
  <c r="C58" i="17"/>
  <c r="E57" i="17"/>
  <c r="F57" i="17"/>
  <c r="E56" i="17"/>
  <c r="F56" i="17"/>
  <c r="D53" i="17"/>
  <c r="E53" i="17" s="1"/>
  <c r="F53" i="17" s="1"/>
  <c r="C53" i="17"/>
  <c r="D52" i="17"/>
  <c r="C52" i="17"/>
  <c r="E51" i="17"/>
  <c r="F51" i="17"/>
  <c r="D47" i="17"/>
  <c r="D48" i="17" s="1"/>
  <c r="C47" i="17"/>
  <c r="C48" i="17"/>
  <c r="E46" i="17"/>
  <c r="F46" i="17"/>
  <c r="E45" i="17"/>
  <c r="F45" i="17" s="1"/>
  <c r="D44" i="17"/>
  <c r="E44" i="17" s="1"/>
  <c r="C44" i="17"/>
  <c r="F44" i="17" s="1"/>
  <c r="E43" i="17"/>
  <c r="F43" i="17"/>
  <c r="E42" i="17"/>
  <c r="F42" i="17"/>
  <c r="D36" i="17"/>
  <c r="C36" i="17"/>
  <c r="D35" i="17"/>
  <c r="C35" i="17"/>
  <c r="D30" i="17"/>
  <c r="D31" i="17"/>
  <c r="C30" i="17"/>
  <c r="C31" i="17"/>
  <c r="D29" i="17"/>
  <c r="C29" i="17"/>
  <c r="E28" i="17"/>
  <c r="F28" i="17" s="1"/>
  <c r="E27" i="17"/>
  <c r="F27" i="17"/>
  <c r="D24" i="17"/>
  <c r="E24" i="17" s="1"/>
  <c r="C24" i="17"/>
  <c r="F24" i="17" s="1"/>
  <c r="D23" i="17"/>
  <c r="E23" i="17" s="1"/>
  <c r="C23" i="17"/>
  <c r="E22" i="17"/>
  <c r="F22" i="17" s="1"/>
  <c r="D20" i="17"/>
  <c r="E20" i="17"/>
  <c r="C20" i="17"/>
  <c r="E19" i="17"/>
  <c r="F19" i="17"/>
  <c r="E18" i="17"/>
  <c r="F18" i="17" s="1"/>
  <c r="D17" i="17"/>
  <c r="E17" i="17"/>
  <c r="F17" i="17" s="1"/>
  <c r="C17" i="17"/>
  <c r="E16" i="17"/>
  <c r="F16" i="17"/>
  <c r="E15" i="17"/>
  <c r="F15" i="17" s="1"/>
  <c r="D21" i="16"/>
  <c r="C21" i="16"/>
  <c r="E20" i="16"/>
  <c r="F20" i="16" s="1"/>
  <c r="D17" i="16"/>
  <c r="C17" i="16"/>
  <c r="E16" i="16"/>
  <c r="F16" i="16" s="1"/>
  <c r="D13" i="16"/>
  <c r="C13" i="16"/>
  <c r="E12" i="16"/>
  <c r="F12" i="16"/>
  <c r="D107" i="15"/>
  <c r="C107" i="15"/>
  <c r="E107" i="15" s="1"/>
  <c r="E106" i="15"/>
  <c r="F106" i="15" s="1"/>
  <c r="F105" i="15"/>
  <c r="E105" i="15"/>
  <c r="F104" i="15"/>
  <c r="E104" i="15"/>
  <c r="D100" i="15"/>
  <c r="C100" i="15"/>
  <c r="E99" i="15"/>
  <c r="F99" i="15" s="1"/>
  <c r="F98" i="15"/>
  <c r="E98" i="15"/>
  <c r="E97" i="15"/>
  <c r="F97" i="15" s="1"/>
  <c r="E96" i="15"/>
  <c r="F96" i="15" s="1"/>
  <c r="E95" i="15"/>
  <c r="F95" i="15" s="1"/>
  <c r="D92" i="15"/>
  <c r="E92" i="15" s="1"/>
  <c r="C92" i="15"/>
  <c r="F92" i="15" s="1"/>
  <c r="F91" i="15"/>
  <c r="E91" i="15"/>
  <c r="F90" i="15"/>
  <c r="E90" i="15"/>
  <c r="F89" i="15"/>
  <c r="E89" i="15"/>
  <c r="F88" i="15"/>
  <c r="E88" i="15"/>
  <c r="E87" i="15"/>
  <c r="F87" i="15" s="1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E73" i="15"/>
  <c r="F73" i="15" s="1"/>
  <c r="D70" i="15"/>
  <c r="E70" i="15"/>
  <c r="F70" i="15" s="1"/>
  <c r="C70" i="15"/>
  <c r="E69" i="15"/>
  <c r="F69" i="15" s="1"/>
  <c r="E68" i="15"/>
  <c r="F68" i="15" s="1"/>
  <c r="D65" i="15"/>
  <c r="E65" i="15" s="1"/>
  <c r="F65" i="15" s="1"/>
  <c r="C65" i="15"/>
  <c r="E64" i="15"/>
  <c r="F64" i="15" s="1"/>
  <c r="E63" i="15"/>
  <c r="F63" i="15" s="1"/>
  <c r="D60" i="15"/>
  <c r="C60" i="15"/>
  <c r="F59" i="15"/>
  <c r="E59" i="15"/>
  <c r="E58" i="15"/>
  <c r="F58" i="15" s="1"/>
  <c r="D55" i="15"/>
  <c r="E55" i="15" s="1"/>
  <c r="F55" i="15"/>
  <c r="C55" i="15"/>
  <c r="E54" i="15"/>
  <c r="F54" i="15" s="1"/>
  <c r="E53" i="15"/>
  <c r="F53" i="15" s="1"/>
  <c r="D50" i="15"/>
  <c r="E50" i="15"/>
  <c r="F50" i="15" s="1"/>
  <c r="C50" i="15"/>
  <c r="E49" i="15"/>
  <c r="F49" i="15" s="1"/>
  <c r="E48" i="15"/>
  <c r="F48" i="15" s="1"/>
  <c r="D45" i="15"/>
  <c r="E45" i="15" s="1"/>
  <c r="F45" i="15" s="1"/>
  <c r="C45" i="15"/>
  <c r="E44" i="15"/>
  <c r="F44" i="15" s="1"/>
  <c r="E43" i="15"/>
  <c r="F43" i="15" s="1"/>
  <c r="D37" i="15"/>
  <c r="E37" i="15"/>
  <c r="F37" i="15"/>
  <c r="C37" i="15"/>
  <c r="F36" i="15"/>
  <c r="E36" i="15"/>
  <c r="F35" i="15"/>
  <c r="E35" i="15"/>
  <c r="E34" i="15"/>
  <c r="F34" i="15" s="1"/>
  <c r="F33" i="15"/>
  <c r="E33" i="15"/>
  <c r="D30" i="15"/>
  <c r="C30" i="15"/>
  <c r="F30" i="15" s="1"/>
  <c r="F29" i="15"/>
  <c r="E29" i="15"/>
  <c r="F28" i="15"/>
  <c r="E28" i="15"/>
  <c r="F27" i="15"/>
  <c r="E27" i="15"/>
  <c r="F26" i="15"/>
  <c r="E26" i="15"/>
  <c r="D23" i="15"/>
  <c r="E23" i="15" s="1"/>
  <c r="F23" i="15"/>
  <c r="C23" i="15"/>
  <c r="F22" i="15"/>
  <c r="E22" i="15"/>
  <c r="E21" i="15"/>
  <c r="F21" i="15" s="1"/>
  <c r="F20" i="15"/>
  <c r="E20" i="15"/>
  <c r="F19" i="15"/>
  <c r="E19" i="15"/>
  <c r="D16" i="15"/>
  <c r="C16" i="15"/>
  <c r="F15" i="15"/>
  <c r="E15" i="15"/>
  <c r="F14" i="15"/>
  <c r="E14" i="15"/>
  <c r="E13" i="15"/>
  <c r="F13" i="15" s="1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 s="1"/>
  <c r="D17" i="14"/>
  <c r="D33" i="14"/>
  <c r="D36" i="14" s="1"/>
  <c r="D38" i="14" s="1"/>
  <c r="D40" i="14" s="1"/>
  <c r="C17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 s="1"/>
  <c r="D78" i="13"/>
  <c r="D80" i="13"/>
  <c r="D77" i="13" s="1"/>
  <c r="C78" i="13"/>
  <c r="C80" i="13"/>
  <c r="C77" i="13" s="1"/>
  <c r="C75" i="13"/>
  <c r="E73" i="13"/>
  <c r="E75" i="13" s="1"/>
  <c r="D73" i="13"/>
  <c r="D75" i="13" s="1"/>
  <c r="C73" i="13"/>
  <c r="E71" i="13"/>
  <c r="D71" i="13"/>
  <c r="C71" i="13"/>
  <c r="E66" i="13"/>
  <c r="E65" i="13"/>
  <c r="D66" i="13"/>
  <c r="D65" i="13" s="1"/>
  <c r="C66" i="13"/>
  <c r="C65" i="13"/>
  <c r="E60" i="13"/>
  <c r="D60" i="13"/>
  <c r="C60" i="13"/>
  <c r="E58" i="13"/>
  <c r="D58" i="13"/>
  <c r="C58" i="13"/>
  <c r="E55" i="13"/>
  <c r="D55" i="13"/>
  <c r="D50" i="13" s="1"/>
  <c r="C55" i="13"/>
  <c r="C50" i="13" s="1"/>
  <c r="E54" i="13"/>
  <c r="E50" i="13" s="1"/>
  <c r="D54" i="13"/>
  <c r="C54" i="13"/>
  <c r="E46" i="13"/>
  <c r="E48" i="13" s="1"/>
  <c r="E42" i="13" s="1"/>
  <c r="E59" i="13"/>
  <c r="E61" i="13" s="1"/>
  <c r="E57" i="13" s="1"/>
  <c r="D46" i="13"/>
  <c r="D59" i="13" s="1"/>
  <c r="C46" i="13"/>
  <c r="C48" i="13" s="1"/>
  <c r="C42" i="13" s="1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D27" i="13" s="1"/>
  <c r="C26" i="13"/>
  <c r="C15" i="13"/>
  <c r="C24" i="13" s="1"/>
  <c r="E13" i="13"/>
  <c r="E15" i="13" s="1"/>
  <c r="E24" i="13" s="1"/>
  <c r="D13" i="13"/>
  <c r="D25" i="13"/>
  <c r="C13" i="13"/>
  <c r="C25" i="13" s="1"/>
  <c r="C27" i="13" s="1"/>
  <c r="D47" i="12"/>
  <c r="C47" i="12"/>
  <c r="E47" i="12" s="1"/>
  <c r="F47" i="12" s="1"/>
  <c r="F46" i="12"/>
  <c r="E46" i="12"/>
  <c r="F45" i="12"/>
  <c r="E45" i="12"/>
  <c r="D40" i="12"/>
  <c r="C40" i="12"/>
  <c r="E40" i="12" s="1"/>
  <c r="F40" i="12" s="1"/>
  <c r="E39" i="12"/>
  <c r="F39" i="12" s="1"/>
  <c r="F38" i="12"/>
  <c r="E38" i="12"/>
  <c r="F37" i="12"/>
  <c r="E37" i="12"/>
  <c r="D32" i="12"/>
  <c r="E32" i="12"/>
  <c r="C32" i="12"/>
  <c r="F31" i="12"/>
  <c r="E31" i="12"/>
  <c r="E30" i="12"/>
  <c r="F30" i="12" s="1"/>
  <c r="E29" i="12"/>
  <c r="F29" i="12" s="1"/>
  <c r="E28" i="12"/>
  <c r="F28" i="12" s="1"/>
  <c r="F27" i="12"/>
  <c r="E27" i="12"/>
  <c r="F26" i="12"/>
  <c r="E26" i="12"/>
  <c r="F25" i="12"/>
  <c r="E25" i="12"/>
  <c r="E24" i="12"/>
  <c r="F24" i="12" s="1"/>
  <c r="F23" i="12"/>
  <c r="E23" i="12"/>
  <c r="E19" i="12"/>
  <c r="F19" i="12" s="1"/>
  <c r="F18" i="12"/>
  <c r="E18" i="12"/>
  <c r="F16" i="12"/>
  <c r="E16" i="12"/>
  <c r="D15" i="12"/>
  <c r="D17" i="12" s="1"/>
  <c r="C15" i="12"/>
  <c r="C17" i="12" s="1"/>
  <c r="E14" i="12"/>
  <c r="F14" i="12" s="1"/>
  <c r="E13" i="12"/>
  <c r="F13" i="12" s="1"/>
  <c r="F12" i="12"/>
  <c r="E12" i="12"/>
  <c r="F11" i="12"/>
  <c r="E11" i="12"/>
  <c r="D73" i="11"/>
  <c r="E73" i="11"/>
  <c r="C73" i="11"/>
  <c r="F73" i="11" s="1"/>
  <c r="F72" i="11"/>
  <c r="E72" i="11"/>
  <c r="E71" i="11"/>
  <c r="F71" i="11" s="1"/>
  <c r="F70" i="11"/>
  <c r="E70" i="11"/>
  <c r="F67" i="11"/>
  <c r="E67" i="11"/>
  <c r="F64" i="11"/>
  <c r="E64" i="11"/>
  <c r="E63" i="11"/>
  <c r="F63" i="11" s="1"/>
  <c r="D61" i="11"/>
  <c r="D65" i="11" s="1"/>
  <c r="C61" i="11"/>
  <c r="C65" i="11"/>
  <c r="F60" i="11"/>
  <c r="E60" i="11"/>
  <c r="E59" i="11"/>
  <c r="F59" i="11" s="1"/>
  <c r="D56" i="11"/>
  <c r="C56" i="11"/>
  <c r="E55" i="11"/>
  <c r="F55" i="11" s="1"/>
  <c r="F54" i="11"/>
  <c r="E54" i="11"/>
  <c r="E53" i="11"/>
  <c r="F53" i="11" s="1"/>
  <c r="F52" i="11"/>
  <c r="E52" i="11"/>
  <c r="E51" i="11"/>
  <c r="F51" i="11" s="1"/>
  <c r="A51" i="11"/>
  <c r="A52" i="11"/>
  <c r="A53" i="11" s="1"/>
  <c r="A54" i="11" s="1"/>
  <c r="A55" i="11" s="1"/>
  <c r="E50" i="11"/>
  <c r="F50" i="11"/>
  <c r="A50" i="11"/>
  <c r="E49" i="11"/>
  <c r="F49" i="11" s="1"/>
  <c r="E40" i="11"/>
  <c r="F40" i="11" s="1"/>
  <c r="D38" i="11"/>
  <c r="D41" i="11" s="1"/>
  <c r="C38" i="11"/>
  <c r="C41" i="11"/>
  <c r="F37" i="11"/>
  <c r="E37" i="11"/>
  <c r="E36" i="11"/>
  <c r="F36" i="11" s="1"/>
  <c r="F33" i="11"/>
  <c r="E33" i="11"/>
  <c r="F32" i="11"/>
  <c r="E32" i="11"/>
  <c r="F31" i="11"/>
  <c r="E31" i="11"/>
  <c r="D29" i="11"/>
  <c r="E29" i="11"/>
  <c r="C29" i="11"/>
  <c r="F29" i="11" s="1"/>
  <c r="F28" i="11"/>
  <c r="E28" i="11"/>
  <c r="F27" i="11"/>
  <c r="E27" i="11"/>
  <c r="F26" i="11"/>
  <c r="E26" i="11"/>
  <c r="F25" i="11"/>
  <c r="E25" i="11"/>
  <c r="D22" i="11"/>
  <c r="C22" i="11"/>
  <c r="F21" i="11"/>
  <c r="E21" i="11"/>
  <c r="E20" i="11"/>
  <c r="F20" i="11" s="1"/>
  <c r="E19" i="11"/>
  <c r="F19" i="11" s="1"/>
  <c r="E18" i="11"/>
  <c r="F18" i="11" s="1"/>
  <c r="F17" i="11"/>
  <c r="E17" i="11"/>
  <c r="F16" i="11"/>
  <c r="E16" i="11"/>
  <c r="E15" i="11"/>
  <c r="F15" i="11" s="1"/>
  <c r="E14" i="11"/>
  <c r="F14" i="11" s="1"/>
  <c r="F13" i="11"/>
  <c r="E13" i="11"/>
  <c r="D120" i="10"/>
  <c r="C120" i="10"/>
  <c r="D119" i="10"/>
  <c r="E119" i="10" s="1"/>
  <c r="F119" i="10" s="1"/>
  <c r="C119" i="10"/>
  <c r="D118" i="10"/>
  <c r="C118" i="10"/>
  <c r="D117" i="10"/>
  <c r="E117" i="10" s="1"/>
  <c r="F117" i="10" s="1"/>
  <c r="C117" i="10"/>
  <c r="D116" i="10"/>
  <c r="E116" i="10"/>
  <c r="C116" i="10"/>
  <c r="D115" i="10"/>
  <c r="E115" i="10"/>
  <c r="F115" i="10" s="1"/>
  <c r="C115" i="10"/>
  <c r="D114" i="10"/>
  <c r="C114" i="10"/>
  <c r="D113" i="10"/>
  <c r="D122" i="10"/>
  <c r="E122" i="10"/>
  <c r="C113" i="10"/>
  <c r="C122" i="10"/>
  <c r="D112" i="10"/>
  <c r="D121" i="10" s="1"/>
  <c r="E121" i="10" s="1"/>
  <c r="F121" i="10" s="1"/>
  <c r="C112" i="10"/>
  <c r="C121" i="10" s="1"/>
  <c r="D108" i="10"/>
  <c r="C108" i="10"/>
  <c r="D107" i="10"/>
  <c r="C107" i="10"/>
  <c r="E107" i="10" s="1"/>
  <c r="F106" i="10"/>
  <c r="E106" i="10"/>
  <c r="E105" i="10"/>
  <c r="F105" i="10" s="1"/>
  <c r="E104" i="10"/>
  <c r="F104" i="10" s="1"/>
  <c r="F103" i="10"/>
  <c r="E103" i="10"/>
  <c r="F102" i="10"/>
  <c r="E102" i="10"/>
  <c r="E101" i="10"/>
  <c r="F101" i="10" s="1"/>
  <c r="E100" i="10"/>
  <c r="F100" i="10" s="1"/>
  <c r="E99" i="10"/>
  <c r="F99" i="10" s="1"/>
  <c r="F98" i="10"/>
  <c r="E98" i="10"/>
  <c r="D96" i="10"/>
  <c r="C96" i="10"/>
  <c r="F96" i="10" s="1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E84" i="10"/>
  <c r="C84" i="10"/>
  <c r="F84" i="10" s="1"/>
  <c r="D83" i="10"/>
  <c r="C83" i="10"/>
  <c r="E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 s="1"/>
  <c r="C60" i="10"/>
  <c r="D59" i="10"/>
  <c r="C59" i="10"/>
  <c r="E59" i="10" s="1"/>
  <c r="F58" i="10"/>
  <c r="E58" i="10"/>
  <c r="E57" i="10"/>
  <c r="F57" i="10" s="1"/>
  <c r="E56" i="10"/>
  <c r="F56" i="10" s="1"/>
  <c r="F55" i="10"/>
  <c r="E55" i="10"/>
  <c r="F54" i="10"/>
  <c r="E54" i="10"/>
  <c r="E53" i="10"/>
  <c r="F53" i="10" s="1"/>
  <c r="E52" i="10"/>
  <c r="F52" i="10" s="1"/>
  <c r="E51" i="10"/>
  <c r="F51" i="10" s="1"/>
  <c r="F50" i="10"/>
  <c r="E50" i="10"/>
  <c r="D48" i="10"/>
  <c r="E48" i="10"/>
  <c r="C48" i="10"/>
  <c r="D47" i="10"/>
  <c r="E47" i="10"/>
  <c r="F47" i="10"/>
  <c r="C47" i="10"/>
  <c r="E46" i="10"/>
  <c r="F46" i="10" s="1"/>
  <c r="E45" i="10"/>
  <c r="F45" i="10" s="1"/>
  <c r="F44" i="10"/>
  <c r="E44" i="10"/>
  <c r="F43" i="10"/>
  <c r="E43" i="10"/>
  <c r="E42" i="10"/>
  <c r="F42" i="10" s="1"/>
  <c r="E41" i="10"/>
  <c r="F41" i="10" s="1"/>
  <c r="E40" i="10"/>
  <c r="F40" i="10" s="1"/>
  <c r="F39" i="10"/>
  <c r="E39" i="10"/>
  <c r="E38" i="10"/>
  <c r="F38" i="10" s="1"/>
  <c r="D36" i="10"/>
  <c r="E36" i="10"/>
  <c r="F36" i="10"/>
  <c r="C36" i="10"/>
  <c r="D35" i="10"/>
  <c r="C35" i="10"/>
  <c r="E34" i="10"/>
  <c r="F34" i="10" s="1"/>
  <c r="E33" i="10"/>
  <c r="F33" i="10" s="1"/>
  <c r="F32" i="10"/>
  <c r="E32" i="10"/>
  <c r="E31" i="10"/>
  <c r="F31" i="10" s="1"/>
  <c r="E30" i="10"/>
  <c r="F30" i="10" s="1"/>
  <c r="F29" i="10"/>
  <c r="E29" i="10"/>
  <c r="F28" i="10"/>
  <c r="E28" i="10"/>
  <c r="E27" i="10"/>
  <c r="F27" i="10" s="1"/>
  <c r="E26" i="10"/>
  <c r="F26" i="10" s="1"/>
  <c r="F24" i="10"/>
  <c r="D24" i="10"/>
  <c r="E24" i="10"/>
  <c r="C24" i="10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C206" i="9"/>
  <c r="D205" i="9"/>
  <c r="C205" i="9"/>
  <c r="D204" i="9"/>
  <c r="E204" i="9"/>
  <c r="C204" i="9"/>
  <c r="D203" i="9"/>
  <c r="E203" i="9"/>
  <c r="F203" i="9" s="1"/>
  <c r="C203" i="9"/>
  <c r="D202" i="9"/>
  <c r="C202" i="9"/>
  <c r="D201" i="9"/>
  <c r="C201" i="9"/>
  <c r="E201" i="9" s="1"/>
  <c r="F201" i="9" s="1"/>
  <c r="D200" i="9"/>
  <c r="C200" i="9"/>
  <c r="D199" i="9"/>
  <c r="D208" i="9" s="1"/>
  <c r="C199" i="9"/>
  <c r="C208" i="9" s="1"/>
  <c r="D198" i="9"/>
  <c r="D207" i="9" s="1"/>
  <c r="C198" i="9"/>
  <c r="D193" i="9"/>
  <c r="E193" i="9"/>
  <c r="C193" i="9"/>
  <c r="F193" i="9" s="1"/>
  <c r="D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E180" i="9" s="1"/>
  <c r="C180" i="9"/>
  <c r="F180" i="9" s="1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 s="1"/>
  <c r="C167" i="9"/>
  <c r="F167" i="9" s="1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F153" i="9"/>
  <c r="D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F141" i="9" s="1"/>
  <c r="D140" i="9"/>
  <c r="C140" i="9"/>
  <c r="F140" i="9" s="1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C128" i="9"/>
  <c r="F128" i="9" s="1"/>
  <c r="D127" i="9"/>
  <c r="E127" i="9"/>
  <c r="C127" i="9"/>
  <c r="F127" i="9" s="1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/>
  <c r="C115" i="9"/>
  <c r="F115" i="9" s="1"/>
  <c r="D114" i="9"/>
  <c r="E114" i="9" s="1"/>
  <c r="C114" i="9"/>
  <c r="F113" i="9"/>
  <c r="E113" i="9"/>
  <c r="E112" i="9"/>
  <c r="F112" i="9" s="1"/>
  <c r="F111" i="9"/>
  <c r="E111" i="9"/>
  <c r="E110" i="9"/>
  <c r="F110" i="9" s="1"/>
  <c r="F109" i="9"/>
  <c r="E109" i="9"/>
  <c r="E108" i="9"/>
  <c r="F108" i="9" s="1"/>
  <c r="F107" i="9"/>
  <c r="E107" i="9"/>
  <c r="E106" i="9"/>
  <c r="F106" i="9" s="1"/>
  <c r="E105" i="9"/>
  <c r="F105" i="9" s="1"/>
  <c r="D102" i="9"/>
  <c r="E102" i="9"/>
  <c r="C102" i="9"/>
  <c r="F102" i="9" s="1"/>
  <c r="D101" i="9"/>
  <c r="E101" i="9" s="1"/>
  <c r="C101" i="9"/>
  <c r="F101" i="9" s="1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E89" i="9" s="1"/>
  <c r="C89" i="9"/>
  <c r="D88" i="9"/>
  <c r="E88" i="9" s="1"/>
  <c r="C88" i="9"/>
  <c r="F87" i="9"/>
  <c r="E87" i="9"/>
  <c r="E86" i="9"/>
  <c r="F86" i="9" s="1"/>
  <c r="F85" i="9"/>
  <c r="E85" i="9"/>
  <c r="E84" i="9"/>
  <c r="F84" i="9" s="1"/>
  <c r="F83" i="9"/>
  <c r="E83" i="9"/>
  <c r="E82" i="9"/>
  <c r="F82" i="9" s="1"/>
  <c r="E81" i="9"/>
  <c r="F81" i="9" s="1"/>
  <c r="E80" i="9"/>
  <c r="F80" i="9" s="1"/>
  <c r="F79" i="9"/>
  <c r="E79" i="9"/>
  <c r="D76" i="9"/>
  <c r="E76" i="9"/>
  <c r="C76" i="9"/>
  <c r="D75" i="9"/>
  <c r="C75" i="9"/>
  <c r="E75" i="9" s="1"/>
  <c r="F75" i="9" s="1"/>
  <c r="E74" i="9"/>
  <c r="F74" i="9" s="1"/>
  <c r="E73" i="9"/>
  <c r="F73" i="9" s="1"/>
  <c r="E72" i="9"/>
  <c r="F72" i="9" s="1"/>
  <c r="F71" i="9"/>
  <c r="E71" i="9"/>
  <c r="E70" i="9"/>
  <c r="F70" i="9" s="1"/>
  <c r="F69" i="9"/>
  <c r="E69" i="9"/>
  <c r="E68" i="9"/>
  <c r="F68" i="9" s="1"/>
  <c r="F67" i="9"/>
  <c r="E67" i="9"/>
  <c r="E66" i="9"/>
  <c r="F66" i="9" s="1"/>
  <c r="F63" i="9"/>
  <c r="D63" i="9"/>
  <c r="E63" i="9" s="1"/>
  <c r="C63" i="9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C50" i="9"/>
  <c r="F50" i="9" s="1"/>
  <c r="D49" i="9"/>
  <c r="C49" i="9"/>
  <c r="F49" i="9" s="1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D37" i="9"/>
  <c r="C37" i="9"/>
  <c r="F37" i="9" s="1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E24" i="9" s="1"/>
  <c r="D23" i="9"/>
  <c r="C23" i="9"/>
  <c r="E23" i="9" s="1"/>
  <c r="F23" i="9" s="1"/>
  <c r="E22" i="9"/>
  <c r="F22" i="9" s="1"/>
  <c r="E21" i="9"/>
  <c r="F21" i="9" s="1"/>
  <c r="E20" i="9"/>
  <c r="F20" i="9" s="1"/>
  <c r="F19" i="9"/>
  <c r="E19" i="9"/>
  <c r="E18" i="9"/>
  <c r="F18" i="9" s="1"/>
  <c r="E17" i="9"/>
  <c r="F17" i="9" s="1"/>
  <c r="E16" i="9"/>
  <c r="F16" i="9" s="1"/>
  <c r="F15" i="9"/>
  <c r="E15" i="9"/>
  <c r="E14" i="9"/>
  <c r="F14" i="9" s="1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C166" i="8" s="1"/>
  <c r="E160" i="8"/>
  <c r="E166" i="8" s="1"/>
  <c r="C160" i="8"/>
  <c r="E147" i="8"/>
  <c r="D147" i="8"/>
  <c r="D143" i="8"/>
  <c r="D149" i="8" s="1"/>
  <c r="C147" i="8"/>
  <c r="C143" i="8" s="1"/>
  <c r="E145" i="8"/>
  <c r="D145" i="8"/>
  <c r="C145" i="8"/>
  <c r="E144" i="8"/>
  <c r="D144" i="8"/>
  <c r="C144" i="8"/>
  <c r="E143" i="8"/>
  <c r="E149" i="8"/>
  <c r="E126" i="8"/>
  <c r="D126" i="8"/>
  <c r="C126" i="8"/>
  <c r="E119" i="8"/>
  <c r="D119" i="8"/>
  <c r="C119" i="8"/>
  <c r="E108" i="8"/>
  <c r="D108" i="8"/>
  <c r="C108" i="8"/>
  <c r="C109" i="8" s="1"/>
  <c r="C106" i="8" s="1"/>
  <c r="E107" i="8"/>
  <c r="E109" i="8" s="1"/>
  <c r="E106" i="8" s="1"/>
  <c r="D107" i="8"/>
  <c r="D109" i="8" s="1"/>
  <c r="D106" i="8" s="1"/>
  <c r="C107" i="8"/>
  <c r="C104" i="8"/>
  <c r="E102" i="8"/>
  <c r="E104" i="8" s="1"/>
  <c r="D102" i="8"/>
  <c r="D104" i="8" s="1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7" i="8"/>
  <c r="D87" i="8"/>
  <c r="C87" i="8"/>
  <c r="E84" i="8"/>
  <c r="D84" i="8"/>
  <c r="D79" i="8" s="1"/>
  <c r="C84" i="8"/>
  <c r="C79" i="8" s="1"/>
  <c r="E83" i="8"/>
  <c r="E79" i="8"/>
  <c r="D83" i="8"/>
  <c r="C83" i="8"/>
  <c r="C71" i="8"/>
  <c r="E75" i="8"/>
  <c r="E77" i="8" s="1"/>
  <c r="E71" i="8" s="1"/>
  <c r="E88" i="8"/>
  <c r="E90" i="8" s="1"/>
  <c r="E86" i="8" s="1"/>
  <c r="D75" i="8"/>
  <c r="C75" i="8"/>
  <c r="C77" i="8" s="1"/>
  <c r="C88" i="8"/>
  <c r="C90" i="8" s="1"/>
  <c r="C86" i="8" s="1"/>
  <c r="E74" i="8"/>
  <c r="D74" i="8"/>
  <c r="C74" i="8"/>
  <c r="E67" i="8"/>
  <c r="D67" i="8"/>
  <c r="C67" i="8"/>
  <c r="E38" i="8"/>
  <c r="E57" i="8" s="1"/>
  <c r="E62" i="8" s="1"/>
  <c r="D38" i="8"/>
  <c r="D57" i="8" s="1"/>
  <c r="D62" i="8" s="1"/>
  <c r="C38" i="8"/>
  <c r="C57" i="8"/>
  <c r="C62" i="8"/>
  <c r="E33" i="8"/>
  <c r="E34" i="8" s="1"/>
  <c r="D33" i="8"/>
  <c r="D34" i="8"/>
  <c r="E26" i="8"/>
  <c r="D26" i="8"/>
  <c r="C26" i="8"/>
  <c r="E25" i="8"/>
  <c r="E27" i="8" s="1"/>
  <c r="E13" i="8"/>
  <c r="E15" i="8" s="1"/>
  <c r="D13" i="8"/>
  <c r="D25" i="8" s="1"/>
  <c r="D27" i="8" s="1"/>
  <c r="C13" i="8"/>
  <c r="F186" i="7"/>
  <c r="E186" i="7"/>
  <c r="D183" i="7"/>
  <c r="D188" i="7"/>
  <c r="C183" i="7"/>
  <c r="E182" i="7"/>
  <c r="F182" i="7" s="1"/>
  <c r="E181" i="7"/>
  <c r="F181" i="7" s="1"/>
  <c r="F180" i="7"/>
  <c r="E180" i="7"/>
  <c r="E179" i="7"/>
  <c r="F179" i="7" s="1"/>
  <c r="F178" i="7"/>
  <c r="E178" i="7"/>
  <c r="E177" i="7"/>
  <c r="F177" i="7" s="1"/>
  <c r="F176" i="7"/>
  <c r="E176" i="7"/>
  <c r="F175" i="7"/>
  <c r="E175" i="7"/>
  <c r="F174" i="7"/>
  <c r="E174" i="7"/>
  <c r="E173" i="7"/>
  <c r="F173" i="7" s="1"/>
  <c r="F172" i="7"/>
  <c r="E172" i="7"/>
  <c r="E171" i="7"/>
  <c r="F171" i="7" s="1"/>
  <c r="F170" i="7"/>
  <c r="E170" i="7"/>
  <c r="D167" i="7"/>
  <c r="C167" i="7"/>
  <c r="E167" i="7" s="1"/>
  <c r="F167" i="7" s="1"/>
  <c r="F166" i="7"/>
  <c r="E166" i="7"/>
  <c r="F165" i="7"/>
  <c r="E165" i="7"/>
  <c r="E164" i="7"/>
  <c r="F164" i="7" s="1"/>
  <c r="F163" i="7"/>
  <c r="E163" i="7"/>
  <c r="F162" i="7"/>
  <c r="E162" i="7"/>
  <c r="F161" i="7"/>
  <c r="E161" i="7"/>
  <c r="E160" i="7"/>
  <c r="F160" i="7" s="1"/>
  <c r="F159" i="7"/>
  <c r="E159" i="7"/>
  <c r="E158" i="7"/>
  <c r="F158" i="7" s="1"/>
  <c r="F157" i="7"/>
  <c r="E157" i="7"/>
  <c r="E156" i="7"/>
  <c r="F156" i="7" s="1"/>
  <c r="E155" i="7"/>
  <c r="F155" i="7" s="1"/>
  <c r="E154" i="7"/>
  <c r="F154" i="7" s="1"/>
  <c r="F153" i="7"/>
  <c r="E153" i="7"/>
  <c r="F152" i="7"/>
  <c r="E152" i="7"/>
  <c r="E151" i="7"/>
  <c r="F151" i="7" s="1"/>
  <c r="E150" i="7"/>
  <c r="F150" i="7" s="1"/>
  <c r="F149" i="7"/>
  <c r="E149" i="7"/>
  <c r="F148" i="7"/>
  <c r="E148" i="7"/>
  <c r="F147" i="7"/>
  <c r="E147" i="7"/>
  <c r="E146" i="7"/>
  <c r="F146" i="7" s="1"/>
  <c r="F145" i="7"/>
  <c r="E145" i="7"/>
  <c r="E144" i="7"/>
  <c r="F144" i="7" s="1"/>
  <c r="F143" i="7"/>
  <c r="E143" i="7"/>
  <c r="E142" i="7"/>
  <c r="F142" i="7" s="1"/>
  <c r="E141" i="7"/>
  <c r="F141" i="7" s="1"/>
  <c r="E140" i="7"/>
  <c r="F140" i="7" s="1"/>
  <c r="E139" i="7"/>
  <c r="F139" i="7" s="1"/>
  <c r="E138" i="7"/>
  <c r="F138" i="7" s="1"/>
  <c r="F137" i="7"/>
  <c r="E137" i="7"/>
  <c r="E136" i="7"/>
  <c r="F136" i="7" s="1"/>
  <c r="E135" i="7"/>
  <c r="F135" i="7" s="1"/>
  <c r="E134" i="7"/>
  <c r="F134" i="7" s="1"/>
  <c r="E133" i="7"/>
  <c r="F133" i="7" s="1"/>
  <c r="D130" i="7"/>
  <c r="C130" i="7"/>
  <c r="F129" i="7"/>
  <c r="E129" i="7"/>
  <c r="E128" i="7"/>
  <c r="F128" i="7" s="1"/>
  <c r="E127" i="7"/>
  <c r="F127" i="7" s="1"/>
  <c r="F126" i="7"/>
  <c r="E126" i="7"/>
  <c r="F125" i="7"/>
  <c r="E125" i="7"/>
  <c r="F124" i="7"/>
  <c r="E124" i="7"/>
  <c r="D121" i="7"/>
  <c r="F121" i="7"/>
  <c r="C121" i="7"/>
  <c r="E121" i="7" s="1"/>
  <c r="E120" i="7"/>
  <c r="F120" i="7" s="1"/>
  <c r="E119" i="7"/>
  <c r="F119" i="7" s="1"/>
  <c r="E118" i="7"/>
  <c r="F118" i="7" s="1"/>
  <c r="E117" i="7"/>
  <c r="F117" i="7" s="1"/>
  <c r="E116" i="7"/>
  <c r="F116" i="7" s="1"/>
  <c r="F115" i="7"/>
  <c r="E115" i="7"/>
  <c r="F114" i="7"/>
  <c r="E114" i="7"/>
  <c r="F113" i="7"/>
  <c r="E113" i="7"/>
  <c r="E112" i="7"/>
  <c r="F112" i="7" s="1"/>
  <c r="F111" i="7"/>
  <c r="E111" i="7"/>
  <c r="F110" i="7"/>
  <c r="E110" i="7"/>
  <c r="E109" i="7"/>
  <c r="F109" i="7" s="1"/>
  <c r="F108" i="7"/>
  <c r="E108" i="7"/>
  <c r="F107" i="7"/>
  <c r="E107" i="7"/>
  <c r="E106" i="7"/>
  <c r="F106" i="7" s="1"/>
  <c r="F105" i="7"/>
  <c r="E105" i="7"/>
  <c r="E104" i="7"/>
  <c r="F104" i="7" s="1"/>
  <c r="E103" i="7"/>
  <c r="F103" i="7" s="1"/>
  <c r="E93" i="7"/>
  <c r="F93" i="7" s="1"/>
  <c r="D90" i="7"/>
  <c r="C90" i="7"/>
  <c r="C95" i="7"/>
  <c r="F89" i="7"/>
  <c r="E89" i="7"/>
  <c r="F88" i="7"/>
  <c r="E88" i="7"/>
  <c r="F87" i="7"/>
  <c r="E87" i="7"/>
  <c r="E86" i="7"/>
  <c r="F86" i="7" s="1"/>
  <c r="F85" i="7"/>
  <c r="E85" i="7"/>
  <c r="E84" i="7"/>
  <c r="F84" i="7" s="1"/>
  <c r="F83" i="7"/>
  <c r="E83" i="7"/>
  <c r="E82" i="7"/>
  <c r="F82" i="7" s="1"/>
  <c r="F81" i="7"/>
  <c r="E81" i="7"/>
  <c r="E80" i="7"/>
  <c r="F80" i="7" s="1"/>
  <c r="F79" i="7"/>
  <c r="E79" i="7"/>
  <c r="F78" i="7"/>
  <c r="E78" i="7"/>
  <c r="F77" i="7"/>
  <c r="E77" i="7"/>
  <c r="E76" i="7"/>
  <c r="F76" i="7" s="1"/>
  <c r="F75" i="7"/>
  <c r="E75" i="7"/>
  <c r="E74" i="7"/>
  <c r="F74" i="7" s="1"/>
  <c r="F73" i="7"/>
  <c r="E73" i="7"/>
  <c r="E72" i="7"/>
  <c r="F72" i="7" s="1"/>
  <c r="F71" i="7"/>
  <c r="E71" i="7"/>
  <c r="E70" i="7"/>
  <c r="F70" i="7" s="1"/>
  <c r="F69" i="7"/>
  <c r="E69" i="7"/>
  <c r="E68" i="7"/>
  <c r="F68" i="7" s="1"/>
  <c r="F67" i="7"/>
  <c r="E67" i="7"/>
  <c r="E66" i="7"/>
  <c r="F66" i="7" s="1"/>
  <c r="F65" i="7"/>
  <c r="E65" i="7"/>
  <c r="E64" i="7"/>
  <c r="F64" i="7" s="1"/>
  <c r="F63" i="7"/>
  <c r="E63" i="7"/>
  <c r="F62" i="7"/>
  <c r="E62" i="7"/>
  <c r="D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E47" i="7"/>
  <c r="F47" i="7" s="1"/>
  <c r="F44" i="7"/>
  <c r="E44" i="7"/>
  <c r="D41" i="7"/>
  <c r="E41" i="7"/>
  <c r="F41" i="7" s="1"/>
  <c r="C41" i="7"/>
  <c r="F40" i="7"/>
  <c r="E40" i="7"/>
  <c r="F39" i="7"/>
  <c r="E39" i="7"/>
  <c r="E38" i="7"/>
  <c r="F38" i="7" s="1"/>
  <c r="D35" i="7"/>
  <c r="E35" i="7" s="1"/>
  <c r="C35" i="7"/>
  <c r="F34" i="7"/>
  <c r="E34" i="7"/>
  <c r="F33" i="7"/>
  <c r="E33" i="7"/>
  <c r="D30" i="7"/>
  <c r="C30" i="7"/>
  <c r="F29" i="7"/>
  <c r="E29" i="7"/>
  <c r="E28" i="7"/>
  <c r="F28" i="7" s="1"/>
  <c r="F27" i="7"/>
  <c r="E27" i="7"/>
  <c r="D24" i="7"/>
  <c r="E24" i="7"/>
  <c r="F24" i="7" s="1"/>
  <c r="C24" i="7"/>
  <c r="E23" i="7"/>
  <c r="F23" i="7" s="1"/>
  <c r="F22" i="7"/>
  <c r="E22" i="7"/>
  <c r="E21" i="7"/>
  <c r="F21" i="7" s="1"/>
  <c r="D18" i="7"/>
  <c r="E18" i="7" s="1"/>
  <c r="F18" i="7" s="1"/>
  <c r="C18" i="7"/>
  <c r="F17" i="7"/>
  <c r="E17" i="7"/>
  <c r="E16" i="7"/>
  <c r="F16" i="7" s="1"/>
  <c r="F15" i="7"/>
  <c r="E15" i="7"/>
  <c r="D179" i="6"/>
  <c r="E179" i="6" s="1"/>
  <c r="C179" i="6"/>
  <c r="F178" i="6"/>
  <c r="E178" i="6"/>
  <c r="F177" i="6"/>
  <c r="E177" i="6"/>
  <c r="E176" i="6"/>
  <c r="F176" i="6" s="1"/>
  <c r="E175" i="6"/>
  <c r="F175" i="6"/>
  <c r="E174" i="6"/>
  <c r="F174" i="6" s="1"/>
  <c r="E173" i="6"/>
  <c r="F173" i="6"/>
  <c r="E172" i="6"/>
  <c r="F172" i="6" s="1"/>
  <c r="E171" i="6"/>
  <c r="F171" i="6" s="1"/>
  <c r="E170" i="6"/>
  <c r="F170" i="6" s="1"/>
  <c r="E169" i="6"/>
  <c r="F169" i="6"/>
  <c r="E168" i="6"/>
  <c r="F168" i="6" s="1"/>
  <c r="D166" i="6"/>
  <c r="C166" i="6"/>
  <c r="F165" i="6"/>
  <c r="E165" i="6"/>
  <c r="F164" i="6"/>
  <c r="E164" i="6"/>
  <c r="E163" i="6"/>
  <c r="F163" i="6" s="1"/>
  <c r="E162" i="6"/>
  <c r="F162" i="6" s="1"/>
  <c r="E161" i="6"/>
  <c r="F161" i="6" s="1"/>
  <c r="E160" i="6"/>
  <c r="F160" i="6"/>
  <c r="E159" i="6"/>
  <c r="F159" i="6" s="1"/>
  <c r="E158" i="6"/>
  <c r="F158" i="6"/>
  <c r="E157" i="6"/>
  <c r="F157" i="6" s="1"/>
  <c r="E156" i="6"/>
  <c r="F156" i="6"/>
  <c r="E155" i="6"/>
  <c r="F155" i="6" s="1"/>
  <c r="D153" i="6"/>
  <c r="C153" i="6"/>
  <c r="F152" i="6"/>
  <c r="E152" i="6"/>
  <c r="F151" i="6"/>
  <c r="E151" i="6"/>
  <c r="E150" i="6"/>
  <c r="F150" i="6" s="1"/>
  <c r="E149" i="6"/>
  <c r="F149" i="6" s="1"/>
  <c r="E148" i="6"/>
  <c r="F148" i="6" s="1"/>
  <c r="E147" i="6"/>
  <c r="F147" i="6"/>
  <c r="E146" i="6"/>
  <c r="F146" i="6" s="1"/>
  <c r="E145" i="6"/>
  <c r="F145" i="6"/>
  <c r="E144" i="6"/>
  <c r="F144" i="6" s="1"/>
  <c r="E143" i="6"/>
  <c r="F143" i="6"/>
  <c r="E142" i="6"/>
  <c r="F142" i="6"/>
  <c r="D137" i="6"/>
  <c r="E137" i="6" s="1"/>
  <c r="F137" i="6" s="1"/>
  <c r="C137" i="6"/>
  <c r="F136" i="6"/>
  <c r="E136" i="6"/>
  <c r="F135" i="6"/>
  <c r="E135" i="6"/>
  <c r="E134" i="6"/>
  <c r="F134" i="6"/>
  <c r="E133" i="6"/>
  <c r="F133" i="6" s="1"/>
  <c r="E132" i="6"/>
  <c r="F132" i="6" s="1"/>
  <c r="E131" i="6"/>
  <c r="F131" i="6"/>
  <c r="E130" i="6"/>
  <c r="F130" i="6"/>
  <c r="E129" i="6"/>
  <c r="F129" i="6"/>
  <c r="E128" i="6"/>
  <c r="F128" i="6" s="1"/>
  <c r="E127" i="6"/>
  <c r="F127" i="6"/>
  <c r="E126" i="6"/>
  <c r="F126" i="6" s="1"/>
  <c r="D124" i="6"/>
  <c r="E124" i="6" s="1"/>
  <c r="C124" i="6"/>
  <c r="F123" i="6"/>
  <c r="E123" i="6"/>
  <c r="F122" i="6"/>
  <c r="E122" i="6"/>
  <c r="E121" i="6"/>
  <c r="F121" i="6" s="1"/>
  <c r="E120" i="6"/>
  <c r="F120" i="6"/>
  <c r="E119" i="6"/>
  <c r="F119" i="6" s="1"/>
  <c r="E118" i="6"/>
  <c r="F118" i="6"/>
  <c r="E117" i="6"/>
  <c r="F117" i="6" s="1"/>
  <c r="E116" i="6"/>
  <c r="F116" i="6"/>
  <c r="E115" i="6"/>
  <c r="F115" i="6" s="1"/>
  <c r="E114" i="6"/>
  <c r="F114" i="6"/>
  <c r="E113" i="6"/>
  <c r="F113" i="6"/>
  <c r="D111" i="6"/>
  <c r="C111" i="6"/>
  <c r="F110" i="6"/>
  <c r="E110" i="6"/>
  <c r="F109" i="6"/>
  <c r="E109" i="6"/>
  <c r="E108" i="6"/>
  <c r="F108" i="6"/>
  <c r="E107" i="6"/>
  <c r="F107" i="6" s="1"/>
  <c r="E106" i="6"/>
  <c r="F106" i="6" s="1"/>
  <c r="E105" i="6"/>
  <c r="F105" i="6" s="1"/>
  <c r="E104" i="6"/>
  <c r="F104" i="6"/>
  <c r="E103" i="6"/>
  <c r="F103" i="6" s="1"/>
  <c r="E102" i="6"/>
  <c r="F102" i="6"/>
  <c r="E101" i="6"/>
  <c r="F101" i="6" s="1"/>
  <c r="E100" i="6"/>
  <c r="F100" i="6"/>
  <c r="D94" i="6"/>
  <c r="C94" i="6"/>
  <c r="F94" i="6"/>
  <c r="D93" i="6"/>
  <c r="C93" i="6"/>
  <c r="F93" i="6" s="1"/>
  <c r="D92" i="6"/>
  <c r="C92" i="6"/>
  <c r="D91" i="6"/>
  <c r="C91" i="6"/>
  <c r="D90" i="6"/>
  <c r="C90" i="6"/>
  <c r="D89" i="6"/>
  <c r="C89" i="6"/>
  <c r="D88" i="6"/>
  <c r="C88" i="6"/>
  <c r="D87" i="6"/>
  <c r="C87" i="6"/>
  <c r="D86" i="6"/>
  <c r="C86" i="6"/>
  <c r="D85" i="6"/>
  <c r="D95" i="6" s="1"/>
  <c r="C85" i="6"/>
  <c r="D84" i="6"/>
  <c r="C84" i="6"/>
  <c r="D81" i="6"/>
  <c r="C81" i="6"/>
  <c r="F80" i="6"/>
  <c r="E80" i="6"/>
  <c r="F79" i="6"/>
  <c r="E79" i="6"/>
  <c r="E78" i="6"/>
  <c r="F78" i="6" s="1"/>
  <c r="E77" i="6"/>
  <c r="F77" i="6"/>
  <c r="E76" i="6"/>
  <c r="F76" i="6"/>
  <c r="E75" i="6"/>
  <c r="F75" i="6"/>
  <c r="E74" i="6"/>
  <c r="F74" i="6" s="1"/>
  <c r="E73" i="6"/>
  <c r="F73" i="6"/>
  <c r="E72" i="6"/>
  <c r="F72" i="6"/>
  <c r="E71" i="6"/>
  <c r="F71" i="6"/>
  <c r="E70" i="6"/>
  <c r="F70" i="6" s="1"/>
  <c r="D68" i="6"/>
  <c r="C68" i="6"/>
  <c r="F67" i="6"/>
  <c r="E67" i="6"/>
  <c r="F66" i="6"/>
  <c r="E66" i="6"/>
  <c r="E65" i="6"/>
  <c r="F65" i="6" s="1"/>
  <c r="E64" i="6"/>
  <c r="F64" i="6" s="1"/>
  <c r="E63" i="6"/>
  <c r="F63" i="6" s="1"/>
  <c r="E62" i="6"/>
  <c r="F62" i="6" s="1"/>
  <c r="F61" i="6"/>
  <c r="E61" i="6"/>
  <c r="E60" i="6"/>
  <c r="F60" i="6" s="1"/>
  <c r="E59" i="6"/>
  <c r="F59" i="6" s="1"/>
  <c r="E58" i="6"/>
  <c r="F58" i="6" s="1"/>
  <c r="F57" i="6"/>
  <c r="E57" i="6"/>
  <c r="D51" i="6"/>
  <c r="C51" i="6"/>
  <c r="F51" i="6" s="1"/>
  <c r="D50" i="6"/>
  <c r="E50" i="6"/>
  <c r="C50" i="6"/>
  <c r="F50" i="6" s="1"/>
  <c r="D49" i="6"/>
  <c r="E49" i="6"/>
  <c r="C49" i="6"/>
  <c r="F49" i="6" s="1"/>
  <c r="D48" i="6"/>
  <c r="C48" i="6"/>
  <c r="E48" i="6" s="1"/>
  <c r="F48" i="6" s="1"/>
  <c r="D47" i="6"/>
  <c r="E47" i="6"/>
  <c r="C47" i="6"/>
  <c r="F47" i="6" s="1"/>
  <c r="D46" i="6"/>
  <c r="C46" i="6"/>
  <c r="E46" i="6" s="1"/>
  <c r="F46" i="6" s="1"/>
  <c r="D45" i="6"/>
  <c r="C45" i="6"/>
  <c r="D44" i="6"/>
  <c r="C44" i="6"/>
  <c r="E44" i="6" s="1"/>
  <c r="F44" i="6" s="1"/>
  <c r="D43" i="6"/>
  <c r="C43" i="6"/>
  <c r="E43" i="6" s="1"/>
  <c r="D42" i="6"/>
  <c r="C42" i="6"/>
  <c r="E42" i="6" s="1"/>
  <c r="F42" i="6" s="1"/>
  <c r="D41" i="6"/>
  <c r="D52" i="6"/>
  <c r="C41" i="6"/>
  <c r="D38" i="6"/>
  <c r="E38" i="6"/>
  <c r="F38" i="6" s="1"/>
  <c r="C38" i="6"/>
  <c r="F37" i="6"/>
  <c r="E37" i="6"/>
  <c r="F36" i="6"/>
  <c r="E36" i="6"/>
  <c r="E35" i="6"/>
  <c r="F35" i="6" s="1"/>
  <c r="F34" i="6"/>
  <c r="E34" i="6"/>
  <c r="E33" i="6"/>
  <c r="F33" i="6" s="1"/>
  <c r="F32" i="6"/>
  <c r="E32" i="6"/>
  <c r="E31" i="6"/>
  <c r="F31" i="6" s="1"/>
  <c r="F30" i="6"/>
  <c r="E30" i="6"/>
  <c r="E29" i="6"/>
  <c r="F29" i="6" s="1"/>
  <c r="F28" i="6"/>
  <c r="E28" i="6"/>
  <c r="E27" i="6"/>
  <c r="F27" i="6" s="1"/>
  <c r="D25" i="6"/>
  <c r="C25" i="6"/>
  <c r="F24" i="6"/>
  <c r="E24" i="6"/>
  <c r="F23" i="6"/>
  <c r="E23" i="6"/>
  <c r="F22" i="6"/>
  <c r="E22" i="6"/>
  <c r="E21" i="6"/>
  <c r="F21" i="6" s="1"/>
  <c r="F20" i="6"/>
  <c r="E20" i="6"/>
  <c r="E19" i="6"/>
  <c r="F19" i="6" s="1"/>
  <c r="F18" i="6"/>
  <c r="E18" i="6"/>
  <c r="E17" i="6"/>
  <c r="F17" i="6" s="1"/>
  <c r="F16" i="6"/>
  <c r="E16" i="6"/>
  <c r="E15" i="6"/>
  <c r="F15" i="6" s="1"/>
  <c r="F14" i="6"/>
  <c r="E14" i="6"/>
  <c r="F51" i="5"/>
  <c r="E51" i="5"/>
  <c r="D48" i="5"/>
  <c r="E48" i="5" s="1"/>
  <c r="C48" i="5"/>
  <c r="F47" i="5"/>
  <c r="E47" i="5"/>
  <c r="E46" i="5"/>
  <c r="F46" i="5" s="1"/>
  <c r="D41" i="5"/>
  <c r="E41" i="5"/>
  <c r="F41" i="5" s="1"/>
  <c r="C41" i="5"/>
  <c r="E40" i="5"/>
  <c r="F40" i="5" s="1"/>
  <c r="F39" i="5"/>
  <c r="E39" i="5"/>
  <c r="F38" i="5"/>
  <c r="E38" i="5"/>
  <c r="D33" i="5"/>
  <c r="E33" i="5" s="1"/>
  <c r="F33" i="5" s="1"/>
  <c r="C33" i="5"/>
  <c r="E32" i="5"/>
  <c r="F32" i="5" s="1"/>
  <c r="E31" i="5"/>
  <c r="F31" i="5" s="1"/>
  <c r="E30" i="5"/>
  <c r="F30" i="5" s="1"/>
  <c r="E29" i="5"/>
  <c r="F29" i="5" s="1"/>
  <c r="F28" i="5"/>
  <c r="E28" i="5"/>
  <c r="E27" i="5"/>
  <c r="F27" i="5" s="1"/>
  <c r="E26" i="5"/>
  <c r="F26" i="5" s="1"/>
  <c r="E25" i="5"/>
  <c r="F25" i="5" s="1"/>
  <c r="F24" i="5"/>
  <c r="E24" i="5"/>
  <c r="E20" i="5"/>
  <c r="F20" i="5" s="1"/>
  <c r="E19" i="5"/>
  <c r="F19" i="5" s="1"/>
  <c r="F17" i="5"/>
  <c r="E17" i="5"/>
  <c r="D16" i="5"/>
  <c r="D18" i="5" s="1"/>
  <c r="C16" i="5"/>
  <c r="E15" i="5"/>
  <c r="F15" i="5" s="1"/>
  <c r="F14" i="5"/>
  <c r="E14" i="5"/>
  <c r="E13" i="5"/>
  <c r="F13" i="5" s="1"/>
  <c r="F12" i="5"/>
  <c r="E12" i="5"/>
  <c r="D73" i="4"/>
  <c r="C73" i="4"/>
  <c r="E72" i="4"/>
  <c r="F72" i="4" s="1"/>
  <c r="E71" i="4"/>
  <c r="F71" i="4" s="1"/>
  <c r="E70" i="4"/>
  <c r="F70" i="4" s="1"/>
  <c r="F67" i="4"/>
  <c r="E67" i="4"/>
  <c r="E64" i="4"/>
  <c r="F64" i="4" s="1"/>
  <c r="E63" i="4"/>
  <c r="F63" i="4" s="1"/>
  <c r="D61" i="4"/>
  <c r="D65" i="4"/>
  <c r="E65" i="4"/>
  <c r="F65" i="4" s="1"/>
  <c r="C61" i="4"/>
  <c r="C65" i="4" s="1"/>
  <c r="F60" i="4"/>
  <c r="E60" i="4"/>
  <c r="F59" i="4"/>
  <c r="E59" i="4"/>
  <c r="D56" i="4"/>
  <c r="E56" i="4" s="1"/>
  <c r="D75" i="4"/>
  <c r="C56" i="4"/>
  <c r="E55" i="4"/>
  <c r="F55" i="4" s="1"/>
  <c r="F54" i="4"/>
  <c r="E54" i="4"/>
  <c r="E53" i="4"/>
  <c r="F53" i="4" s="1"/>
  <c r="F52" i="4"/>
  <c r="E52" i="4"/>
  <c r="E51" i="4"/>
  <c r="F51" i="4" s="1"/>
  <c r="E50" i="4"/>
  <c r="F50" i="4"/>
  <c r="A50" i="4"/>
  <c r="A51" i="4" s="1"/>
  <c r="A52" i="4" s="1"/>
  <c r="A53" i="4" s="1"/>
  <c r="A54" i="4" s="1"/>
  <c r="A55" i="4" s="1"/>
  <c r="E49" i="4"/>
  <c r="F49" i="4" s="1"/>
  <c r="E40" i="4"/>
  <c r="F40" i="4" s="1"/>
  <c r="D38" i="4"/>
  <c r="D41" i="4"/>
  <c r="C38" i="4"/>
  <c r="C41" i="4" s="1"/>
  <c r="E37" i="4"/>
  <c r="F37" i="4" s="1"/>
  <c r="E36" i="4"/>
  <c r="F36" i="4" s="1"/>
  <c r="E33" i="4"/>
  <c r="F33" i="4" s="1"/>
  <c r="F32" i="4"/>
  <c r="E32" i="4"/>
  <c r="E31" i="4"/>
  <c r="F31" i="4" s="1"/>
  <c r="F29" i="4"/>
  <c r="D29" i="4"/>
  <c r="E29" i="4" s="1"/>
  <c r="C29" i="4"/>
  <c r="F28" i="4"/>
  <c r="E28" i="4"/>
  <c r="F27" i="4"/>
  <c r="E27" i="4"/>
  <c r="F26" i="4"/>
  <c r="E26" i="4"/>
  <c r="F25" i="4"/>
  <c r="E25" i="4"/>
  <c r="D22" i="4"/>
  <c r="D43" i="4" s="1"/>
  <c r="C22" i="4"/>
  <c r="E21" i="4"/>
  <c r="F21" i="4" s="1"/>
  <c r="F20" i="4"/>
  <c r="E20" i="4"/>
  <c r="E19" i="4"/>
  <c r="F19" i="4" s="1"/>
  <c r="F18" i="4"/>
  <c r="E18" i="4"/>
  <c r="F17" i="4"/>
  <c r="E17" i="4"/>
  <c r="F16" i="4"/>
  <c r="E16" i="4"/>
  <c r="E15" i="4"/>
  <c r="F15" i="4" s="1"/>
  <c r="F14" i="4"/>
  <c r="E14" i="4"/>
  <c r="F13" i="4"/>
  <c r="E13" i="4"/>
  <c r="C109" i="22"/>
  <c r="C108" i="22"/>
  <c r="D22" i="22"/>
  <c r="C23" i="22"/>
  <c r="E23" i="22"/>
  <c r="D33" i="22"/>
  <c r="C34" i="22"/>
  <c r="E34" i="22"/>
  <c r="C102" i="22"/>
  <c r="C103" i="22" s="1"/>
  <c r="E102" i="22"/>
  <c r="C22" i="22"/>
  <c r="E22" i="22"/>
  <c r="F19" i="21"/>
  <c r="C41" i="20"/>
  <c r="F40" i="20"/>
  <c r="D41" i="20"/>
  <c r="E39" i="20"/>
  <c r="E41" i="20" s="1"/>
  <c r="F41" i="20" s="1"/>
  <c r="E19" i="20"/>
  <c r="F19" i="20"/>
  <c r="E43" i="20"/>
  <c r="C38" i="19"/>
  <c r="C127" i="19" s="1"/>
  <c r="C129" i="19"/>
  <c r="C133" i="19"/>
  <c r="C22" i="19"/>
  <c r="E94" i="17"/>
  <c r="F94" i="17" s="1"/>
  <c r="E95" i="17"/>
  <c r="F95" i="17" s="1"/>
  <c r="E100" i="17"/>
  <c r="E110" i="17"/>
  <c r="E120" i="17"/>
  <c r="F120" i="17" s="1"/>
  <c r="E294" i="17"/>
  <c r="E295" i="17"/>
  <c r="E296" i="17"/>
  <c r="F296" i="17" s="1"/>
  <c r="E297" i="17"/>
  <c r="F297" i="17" s="1"/>
  <c r="E298" i="17"/>
  <c r="E299" i="17"/>
  <c r="E32" i="18"/>
  <c r="D33" i="18"/>
  <c r="E36" i="18"/>
  <c r="C289" i="18"/>
  <c r="E289" i="18" s="1"/>
  <c r="C71" i="18"/>
  <c r="C76" i="18" s="1"/>
  <c r="C65" i="18"/>
  <c r="C66" i="18"/>
  <c r="C295" i="18" s="1"/>
  <c r="E60" i="18"/>
  <c r="E70" i="18"/>
  <c r="D241" i="18"/>
  <c r="D111" i="17"/>
  <c r="E111" i="17"/>
  <c r="F111" i="17"/>
  <c r="E21" i="18"/>
  <c r="D157" i="18"/>
  <c r="C144" i="18"/>
  <c r="E151" i="18"/>
  <c r="C175" i="18"/>
  <c r="C261" i="18"/>
  <c r="C189" i="18"/>
  <c r="E188" i="18"/>
  <c r="D260" i="18"/>
  <c r="E195" i="18"/>
  <c r="E240" i="18"/>
  <c r="E220" i="18"/>
  <c r="D245" i="18"/>
  <c r="E221" i="18"/>
  <c r="E302" i="18"/>
  <c r="C303" i="18"/>
  <c r="C306" i="18" s="1"/>
  <c r="C310" i="18" s="1"/>
  <c r="E139" i="18"/>
  <c r="E261" i="18"/>
  <c r="E189" i="18"/>
  <c r="C229" i="18"/>
  <c r="C210" i="18"/>
  <c r="E205" i="18"/>
  <c r="E216" i="18"/>
  <c r="C242" i="18"/>
  <c r="E242" i="18"/>
  <c r="C217" i="18"/>
  <c r="C241" i="18" s="1"/>
  <c r="E218" i="18"/>
  <c r="D243" i="18"/>
  <c r="D252" i="18" s="1"/>
  <c r="E219" i="18"/>
  <c r="C222" i="18"/>
  <c r="C223" i="18" s="1"/>
  <c r="C253" i="18"/>
  <c r="D222" i="18"/>
  <c r="E265" i="18"/>
  <c r="E233" i="18"/>
  <c r="E251" i="18"/>
  <c r="E301" i="18"/>
  <c r="C32" i="17"/>
  <c r="C160" i="17"/>
  <c r="C90" i="17"/>
  <c r="E90" i="17" s="1"/>
  <c r="C61" i="17"/>
  <c r="E61" i="17" s="1"/>
  <c r="F146" i="17"/>
  <c r="C173" i="17"/>
  <c r="F173" i="17"/>
  <c r="F172" i="17"/>
  <c r="D32" i="17"/>
  <c r="E31" i="17"/>
  <c r="F31" i="17" s="1"/>
  <c r="D160" i="17"/>
  <c r="E160" i="17"/>
  <c r="D90" i="17"/>
  <c r="E48" i="17"/>
  <c r="F48" i="17" s="1"/>
  <c r="D61" i="17"/>
  <c r="E60" i="17"/>
  <c r="F60" i="17"/>
  <c r="C103" i="17"/>
  <c r="C105" i="17" s="1"/>
  <c r="E172" i="17"/>
  <c r="D173" i="17"/>
  <c r="E173" i="17" s="1"/>
  <c r="C21" i="17"/>
  <c r="E30" i="17"/>
  <c r="F30" i="17" s="1"/>
  <c r="E35" i="17"/>
  <c r="F35" i="17"/>
  <c r="C37" i="17"/>
  <c r="E47" i="17"/>
  <c r="F47" i="17" s="1"/>
  <c r="E59" i="17"/>
  <c r="F59" i="17"/>
  <c r="E76" i="17"/>
  <c r="F76" i="17"/>
  <c r="F85" i="17"/>
  <c r="F100" i="17"/>
  <c r="F110" i="17"/>
  <c r="D124" i="17"/>
  <c r="F129" i="17"/>
  <c r="F145" i="17"/>
  <c r="F155" i="17"/>
  <c r="F158" i="17"/>
  <c r="F164" i="17"/>
  <c r="F165" i="17"/>
  <c r="F170" i="17"/>
  <c r="F171" i="17"/>
  <c r="D181" i="17"/>
  <c r="D278" i="17"/>
  <c r="E189" i="17"/>
  <c r="F189" i="17" s="1"/>
  <c r="D262" i="17"/>
  <c r="D215" i="17"/>
  <c r="D190" i="17"/>
  <c r="D290" i="17"/>
  <c r="D274" i="17"/>
  <c r="E198" i="17"/>
  <c r="F198" i="17" s="1"/>
  <c r="D199" i="17"/>
  <c r="E199" i="17" s="1"/>
  <c r="F199" i="17" s="1"/>
  <c r="D285" i="17"/>
  <c r="D286" i="17" s="1"/>
  <c r="D269" i="17"/>
  <c r="E204" i="17"/>
  <c r="F204" i="17"/>
  <c r="D206" i="17"/>
  <c r="E206" i="17" s="1"/>
  <c r="D21" i="17"/>
  <c r="D49" i="17" s="1"/>
  <c r="E88" i="17"/>
  <c r="F88" i="17"/>
  <c r="E101" i="17"/>
  <c r="F101" i="17"/>
  <c r="E109" i="17"/>
  <c r="F109" i="17"/>
  <c r="C193" i="17"/>
  <c r="C282" i="17"/>
  <c r="C192" i="17"/>
  <c r="E123" i="17"/>
  <c r="F123" i="17"/>
  <c r="C124" i="17"/>
  <c r="E124" i="17" s="1"/>
  <c r="E144" i="17"/>
  <c r="F144" i="17"/>
  <c r="E158" i="17"/>
  <c r="E171" i="17"/>
  <c r="D277" i="17"/>
  <c r="D284" i="17" s="1"/>
  <c r="E188" i="17"/>
  <c r="F188" i="17" s="1"/>
  <c r="D261" i="17"/>
  <c r="D280" i="17"/>
  <c r="D281" i="17" s="1"/>
  <c r="E191" i="17"/>
  <c r="F191" i="17" s="1"/>
  <c r="D264" i="17"/>
  <c r="D193" i="17"/>
  <c r="D266" i="17"/>
  <c r="D283" i="17"/>
  <c r="D267" i="17"/>
  <c r="E203" i="17"/>
  <c r="F203" i="17"/>
  <c r="D227" i="17"/>
  <c r="E227" i="17"/>
  <c r="F227" i="17"/>
  <c r="D239" i="17"/>
  <c r="E239" i="17" s="1"/>
  <c r="F239" i="17" s="1"/>
  <c r="C279" i="17"/>
  <c r="C190" i="17"/>
  <c r="C290" i="17"/>
  <c r="C274" i="17"/>
  <c r="C300" i="17" s="1"/>
  <c r="C199" i="17"/>
  <c r="C200" i="17"/>
  <c r="C283" i="17"/>
  <c r="C287" i="17"/>
  <c r="C267" i="17"/>
  <c r="C285" i="17"/>
  <c r="C288" i="17" s="1"/>
  <c r="C269" i="17"/>
  <c r="C205" i="17"/>
  <c r="C206" i="17"/>
  <c r="C214" i="17"/>
  <c r="C215" i="17"/>
  <c r="E250" i="17"/>
  <c r="F250" i="17" s="1"/>
  <c r="C254" i="17"/>
  <c r="C255" i="17"/>
  <c r="C261" i="17"/>
  <c r="C262" i="17"/>
  <c r="C264" i="17"/>
  <c r="F294" i="17"/>
  <c r="F295" i="17"/>
  <c r="F298" i="17"/>
  <c r="F299" i="17"/>
  <c r="E13" i="16"/>
  <c r="F13" i="16" s="1"/>
  <c r="E17" i="16"/>
  <c r="F17" i="16" s="1"/>
  <c r="E21" i="16"/>
  <c r="F21" i="16"/>
  <c r="F107" i="15"/>
  <c r="F36" i="14"/>
  <c r="F38" i="14" s="1"/>
  <c r="F40" i="14" s="1"/>
  <c r="I17" i="14"/>
  <c r="D31" i="14"/>
  <c r="F31" i="14"/>
  <c r="E33" i="14"/>
  <c r="E36" i="14" s="1"/>
  <c r="E38" i="14" s="1"/>
  <c r="E40" i="14"/>
  <c r="G33" i="14"/>
  <c r="G36" i="14" s="1"/>
  <c r="G38" i="14" s="1"/>
  <c r="G40" i="14" s="1"/>
  <c r="D21" i="13"/>
  <c r="D15" i="13"/>
  <c r="C17" i="13"/>
  <c r="C28" i="13"/>
  <c r="C70" i="13" s="1"/>
  <c r="C72" i="13" s="1"/>
  <c r="C69" i="13" s="1"/>
  <c r="E17" i="13"/>
  <c r="E28" i="13"/>
  <c r="E70" i="13"/>
  <c r="E72" i="13" s="1"/>
  <c r="E69" i="13" s="1"/>
  <c r="D48" i="13"/>
  <c r="D42" i="13"/>
  <c r="C20" i="12"/>
  <c r="C34" i="12" s="1"/>
  <c r="D20" i="12"/>
  <c r="E17" i="12"/>
  <c r="F17" i="12" s="1"/>
  <c r="E15" i="12"/>
  <c r="F15" i="12"/>
  <c r="C43" i="11"/>
  <c r="E41" i="11"/>
  <c r="F41" i="11"/>
  <c r="E38" i="11"/>
  <c r="F38" i="11"/>
  <c r="E56" i="11"/>
  <c r="F56" i="11"/>
  <c r="E61" i="11"/>
  <c r="F61" i="11"/>
  <c r="F122" i="10"/>
  <c r="E112" i="10"/>
  <c r="F112" i="10" s="1"/>
  <c r="E113" i="10"/>
  <c r="F113" i="10"/>
  <c r="F206" i="9"/>
  <c r="E198" i="9"/>
  <c r="F198" i="9"/>
  <c r="E199" i="9"/>
  <c r="F199" i="9" s="1"/>
  <c r="E157" i="8"/>
  <c r="E155" i="8"/>
  <c r="E153" i="8"/>
  <c r="E156" i="8"/>
  <c r="E154" i="8"/>
  <c r="E152" i="8"/>
  <c r="D156" i="8"/>
  <c r="D154" i="8"/>
  <c r="D152" i="8"/>
  <c r="D158" i="8" s="1"/>
  <c r="D157" i="8"/>
  <c r="D155" i="8"/>
  <c r="D153" i="8"/>
  <c r="E21" i="8"/>
  <c r="E140" i="8"/>
  <c r="E138" i="8"/>
  <c r="E136" i="8"/>
  <c r="E139" i="8"/>
  <c r="E137" i="8"/>
  <c r="E135" i="8"/>
  <c r="D139" i="8"/>
  <c r="D137" i="8"/>
  <c r="D140" i="8"/>
  <c r="D138" i="8"/>
  <c r="C157" i="8"/>
  <c r="C155" i="8"/>
  <c r="C153" i="8"/>
  <c r="C156" i="8"/>
  <c r="C154" i="8"/>
  <c r="C152" i="8"/>
  <c r="D15" i="8"/>
  <c r="D17" i="8" s="1"/>
  <c r="D112" i="8" s="1"/>
  <c r="D111" i="8" s="1"/>
  <c r="C43" i="8"/>
  <c r="E43" i="8"/>
  <c r="D49" i="8"/>
  <c r="C53" i="8"/>
  <c r="E53" i="8"/>
  <c r="C49" i="8"/>
  <c r="E49" i="8"/>
  <c r="E183" i="7"/>
  <c r="F183" i="7" s="1"/>
  <c r="E41" i="6"/>
  <c r="F41" i="6" s="1"/>
  <c r="E84" i="6"/>
  <c r="F84" i="6"/>
  <c r="E86" i="6"/>
  <c r="E88" i="6"/>
  <c r="F88" i="6"/>
  <c r="E90" i="6"/>
  <c r="E81" i="6"/>
  <c r="E85" i="6"/>
  <c r="F85" i="6" s="1"/>
  <c r="E87" i="6"/>
  <c r="F87" i="6" s="1"/>
  <c r="E89" i="6"/>
  <c r="F89" i="6" s="1"/>
  <c r="E91" i="6"/>
  <c r="F91" i="6" s="1"/>
  <c r="E92" i="6"/>
  <c r="F92" i="6"/>
  <c r="E94" i="6"/>
  <c r="E111" i="6"/>
  <c r="F111" i="6" s="1"/>
  <c r="E153" i="6"/>
  <c r="F153" i="6"/>
  <c r="E166" i="6"/>
  <c r="F166" i="6"/>
  <c r="D21" i="5"/>
  <c r="F48" i="5"/>
  <c r="E16" i="5"/>
  <c r="F16" i="5"/>
  <c r="C18" i="5"/>
  <c r="C43" i="4"/>
  <c r="E41" i="4"/>
  <c r="F41" i="4" s="1"/>
  <c r="E22" i="4"/>
  <c r="F22" i="4"/>
  <c r="E38" i="4"/>
  <c r="F38" i="4"/>
  <c r="F56" i="4"/>
  <c r="E61" i="4"/>
  <c r="F61" i="4" s="1"/>
  <c r="E53" i="22"/>
  <c r="E45" i="22"/>
  <c r="E39" i="22"/>
  <c r="E35" i="22"/>
  <c r="E29" i="22"/>
  <c r="C111" i="22"/>
  <c r="C53" i="22"/>
  <c r="C45" i="22"/>
  <c r="C39" i="22"/>
  <c r="C35" i="22"/>
  <c r="C29" i="22"/>
  <c r="C110" i="22"/>
  <c r="E54" i="22"/>
  <c r="E46" i="22"/>
  <c r="E40" i="22"/>
  <c r="E36" i="22"/>
  <c r="E30" i="22"/>
  <c r="F43" i="20"/>
  <c r="C234" i="18"/>
  <c r="C211" i="18"/>
  <c r="C180" i="18"/>
  <c r="C145" i="18"/>
  <c r="E241" i="18"/>
  <c r="D223" i="18"/>
  <c r="E222" i="18"/>
  <c r="E260" i="18"/>
  <c r="E33" i="18"/>
  <c r="E283" i="17"/>
  <c r="E264" i="17"/>
  <c r="F264" i="17"/>
  <c r="D265" i="17"/>
  <c r="E280" i="17"/>
  <c r="F280" i="17" s="1"/>
  <c r="E278" i="17"/>
  <c r="F278" i="17" s="1"/>
  <c r="C304" i="17"/>
  <c r="C161" i="17"/>
  <c r="C162" i="17" s="1"/>
  <c r="F162" i="17" s="1"/>
  <c r="C91" i="17"/>
  <c r="C49" i="17"/>
  <c r="E49" i="17" s="1"/>
  <c r="D125" i="17"/>
  <c r="F90" i="17"/>
  <c r="F160" i="17"/>
  <c r="C175" i="17"/>
  <c r="C62" i="17"/>
  <c r="C216" i="17"/>
  <c r="F283" i="17"/>
  <c r="C284" i="17"/>
  <c r="F284" i="17" s="1"/>
  <c r="E267" i="17"/>
  <c r="E193" i="17"/>
  <c r="F193" i="17" s="1"/>
  <c r="D194" i="17"/>
  <c r="D196" i="17" s="1"/>
  <c r="D271" i="17"/>
  <c r="D268" i="17"/>
  <c r="E277" i="17"/>
  <c r="F277" i="17"/>
  <c r="D287" i="17"/>
  <c r="E287" i="17" s="1"/>
  <c r="F287" i="17" s="1"/>
  <c r="E284" i="17"/>
  <c r="D279" i="17"/>
  <c r="E279" i="17"/>
  <c r="F279" i="17"/>
  <c r="C194" i="17"/>
  <c r="C196" i="17" s="1"/>
  <c r="D161" i="17"/>
  <c r="D162" i="17" s="1"/>
  <c r="D126" i="17"/>
  <c r="D127" i="17" s="1"/>
  <c r="D91" i="17"/>
  <c r="E21" i="17"/>
  <c r="F21" i="17"/>
  <c r="D282" i="17"/>
  <c r="E282" i="17" s="1"/>
  <c r="E290" i="17"/>
  <c r="F290" i="17" s="1"/>
  <c r="C266" i="17"/>
  <c r="F266" i="17" s="1"/>
  <c r="D174" i="17"/>
  <c r="E174" i="17" s="1"/>
  <c r="F174" i="17" s="1"/>
  <c r="F61" i="17"/>
  <c r="D62" i="17"/>
  <c r="D63" i="17" s="1"/>
  <c r="E63" i="17" s="1"/>
  <c r="F63" i="17" s="1"/>
  <c r="D175" i="17"/>
  <c r="E175" i="17" s="1"/>
  <c r="F175" i="17" s="1"/>
  <c r="E32" i="17"/>
  <c r="F32" i="17"/>
  <c r="E200" i="17"/>
  <c r="F200" i="17"/>
  <c r="E192" i="17"/>
  <c r="F192" i="17" s="1"/>
  <c r="C174" i="17"/>
  <c r="C104" i="17"/>
  <c r="D24" i="13"/>
  <c r="D20" i="13" s="1"/>
  <c r="D17" i="13"/>
  <c r="D28" i="13"/>
  <c r="D22" i="13" s="1"/>
  <c r="C158" i="8"/>
  <c r="E158" i="8"/>
  <c r="C21" i="5"/>
  <c r="C35" i="5" s="1"/>
  <c r="E18" i="5"/>
  <c r="F18" i="5" s="1"/>
  <c r="E113" i="22"/>
  <c r="E56" i="22"/>
  <c r="E48" i="22"/>
  <c r="E38" i="22"/>
  <c r="C55" i="22"/>
  <c r="C47" i="22"/>
  <c r="C37" i="22"/>
  <c r="C112" i="22"/>
  <c r="E55" i="22"/>
  <c r="E47" i="22"/>
  <c r="E37" i="22"/>
  <c r="E223" i="18"/>
  <c r="C127" i="18"/>
  <c r="C112" i="18"/>
  <c r="C124" i="18"/>
  <c r="C122" i="18"/>
  <c r="C111" i="18"/>
  <c r="D50" i="17"/>
  <c r="D176" i="17"/>
  <c r="E176" i="17" s="1"/>
  <c r="E91" i="17"/>
  <c r="F91" i="17"/>
  <c r="D92" i="17"/>
  <c r="C195" i="17"/>
  <c r="D304" i="17"/>
  <c r="E304" i="17" s="1"/>
  <c r="F304" i="17" s="1"/>
  <c r="C63" i="17"/>
  <c r="C106" i="17"/>
  <c r="C113" i="17" s="1"/>
  <c r="C176" i="17"/>
  <c r="C183" i="17" s="1"/>
  <c r="F183" i="17" s="1"/>
  <c r="F49" i="17"/>
  <c r="C50" i="17"/>
  <c r="C70" i="17" s="1"/>
  <c r="C92" i="17"/>
  <c r="E266" i="17"/>
  <c r="D28" i="8"/>
  <c r="D99" i="8" s="1"/>
  <c r="D101" i="8" s="1"/>
  <c r="D98" i="8" s="1"/>
  <c r="C323" i="17"/>
  <c r="F323" i="17" s="1"/>
  <c r="E92" i="17"/>
  <c r="F92" i="17" s="1"/>
  <c r="E162" i="17"/>
  <c r="C324" i="17"/>
  <c r="D70" i="17"/>
  <c r="C43" i="5"/>
  <c r="C50" i="5"/>
  <c r="C42" i="12" l="1"/>
  <c r="C128" i="18"/>
  <c r="E70" i="17"/>
  <c r="F70" i="17" s="1"/>
  <c r="E271" i="17"/>
  <c r="F300" i="17"/>
  <c r="D197" i="17"/>
  <c r="E196" i="17"/>
  <c r="F196" i="17" s="1"/>
  <c r="E265" i="17"/>
  <c r="C235" i="18"/>
  <c r="C181" i="18"/>
  <c r="E262" i="17"/>
  <c r="F262" i="17" s="1"/>
  <c r="D263" i="17"/>
  <c r="E231" i="18"/>
  <c r="C252" i="18"/>
  <c r="C254" i="18" s="1"/>
  <c r="C316" i="18"/>
  <c r="C320" i="18" s="1"/>
  <c r="E314" i="18"/>
  <c r="E286" i="17"/>
  <c r="D55" i="18"/>
  <c r="E55" i="18" s="1"/>
  <c r="E54" i="18"/>
  <c r="H31" i="14"/>
  <c r="C291" i="17"/>
  <c r="C289" i="17"/>
  <c r="E190" i="17"/>
  <c r="F190" i="17" s="1"/>
  <c r="E45" i="6"/>
  <c r="F45" i="6"/>
  <c r="D44" i="18"/>
  <c r="E43" i="18"/>
  <c r="C110" i="18"/>
  <c r="C116" i="18" s="1"/>
  <c r="C123" i="18"/>
  <c r="C126" i="18"/>
  <c r="C113" i="18"/>
  <c r="C114" i="18"/>
  <c r="D239" i="18"/>
  <c r="E239" i="18" s="1"/>
  <c r="E215" i="18"/>
  <c r="E227" i="18"/>
  <c r="E281" i="18"/>
  <c r="E50" i="17"/>
  <c r="F50" i="17" s="1"/>
  <c r="F176" i="17"/>
  <c r="D291" i="17"/>
  <c r="C109" i="18"/>
  <c r="F285" i="17"/>
  <c r="C286" i="17"/>
  <c r="E141" i="8"/>
  <c r="D34" i="12"/>
  <c r="E20" i="12"/>
  <c r="F179" i="6"/>
  <c r="E90" i="7"/>
  <c r="F90" i="7"/>
  <c r="D88" i="8"/>
  <c r="D90" i="8" s="1"/>
  <c r="D86" i="8" s="1"/>
  <c r="D77" i="8"/>
  <c r="D71" i="8" s="1"/>
  <c r="C31" i="14"/>
  <c r="I31" i="14" s="1"/>
  <c r="H17" i="14"/>
  <c r="C33" i="14"/>
  <c r="F43" i="4"/>
  <c r="C126" i="17"/>
  <c r="F124" i="17"/>
  <c r="C263" i="17"/>
  <c r="E261" i="17"/>
  <c r="F261" i="17" s="1"/>
  <c r="C44" i="18"/>
  <c r="C259" i="18"/>
  <c r="C263" i="18" s="1"/>
  <c r="E268" i="17"/>
  <c r="F39" i="20"/>
  <c r="D272" i="17"/>
  <c r="C268" i="17"/>
  <c r="D35" i="5"/>
  <c r="C294" i="18"/>
  <c r="C246" i="18"/>
  <c r="C46" i="22"/>
  <c r="C40" i="22"/>
  <c r="C54" i="22"/>
  <c r="C36" i="22"/>
  <c r="C30" i="22"/>
  <c r="D21" i="8"/>
  <c r="C22" i="13"/>
  <c r="C20" i="13"/>
  <c r="C21" i="13"/>
  <c r="E252" i="18"/>
  <c r="D254" i="18"/>
  <c r="E254" i="18" s="1"/>
  <c r="D77" i="22"/>
  <c r="D101" i="22"/>
  <c r="D103" i="22" s="1"/>
  <c r="C272" i="17"/>
  <c r="C270" i="17"/>
  <c r="F269" i="17"/>
  <c r="F29" i="17"/>
  <c r="E109" i="22"/>
  <c r="E108" i="22"/>
  <c r="E111" i="22"/>
  <c r="E112" i="22"/>
  <c r="E285" i="17"/>
  <c r="E68" i="6"/>
  <c r="F68" i="6"/>
  <c r="C15" i="8"/>
  <c r="C25" i="8"/>
  <c r="C27" i="8" s="1"/>
  <c r="C265" i="17"/>
  <c r="C115" i="18"/>
  <c r="C271" i="17"/>
  <c r="E217" i="18"/>
  <c r="D35" i="22"/>
  <c r="D29" i="22"/>
  <c r="D110" i="22"/>
  <c r="D53" i="22"/>
  <c r="D45" i="22"/>
  <c r="D39" i="22"/>
  <c r="E73" i="4"/>
  <c r="F73" i="4" s="1"/>
  <c r="E24" i="8"/>
  <c r="E20" i="8" s="1"/>
  <c r="E17" i="8"/>
  <c r="F202" i="9"/>
  <c r="F107" i="10"/>
  <c r="E269" i="17"/>
  <c r="D270" i="17"/>
  <c r="F192" i="9"/>
  <c r="E192" i="9"/>
  <c r="C49" i="19"/>
  <c r="C64" i="19"/>
  <c r="C65" i="19" s="1"/>
  <c r="C114" i="19" s="1"/>
  <c r="C116" i="19" s="1"/>
  <c r="C119" i="19" s="1"/>
  <c r="C123" i="19" s="1"/>
  <c r="E43" i="4"/>
  <c r="E52" i="17"/>
  <c r="F52" i="17"/>
  <c r="D320" i="18"/>
  <c r="D323" i="17"/>
  <c r="E323" i="17" s="1"/>
  <c r="F20" i="12"/>
  <c r="D330" i="18"/>
  <c r="E330" i="18" s="1"/>
  <c r="D70" i="13"/>
  <c r="D72" i="13" s="1"/>
  <c r="D69" i="13" s="1"/>
  <c r="C121" i="18"/>
  <c r="C129" i="18" s="1"/>
  <c r="E194" i="17"/>
  <c r="F194" i="17" s="1"/>
  <c r="D195" i="17"/>
  <c r="E195" i="17" s="1"/>
  <c r="F195" i="17" s="1"/>
  <c r="D22" i="8"/>
  <c r="D183" i="17"/>
  <c r="E183" i="17" s="1"/>
  <c r="E21" i="5"/>
  <c r="F21" i="5" s="1"/>
  <c r="E161" i="17"/>
  <c r="F161" i="17" s="1"/>
  <c r="C125" i="18"/>
  <c r="D24" i="8"/>
  <c r="D20" i="8" s="1"/>
  <c r="C125" i="17"/>
  <c r="E274" i="17"/>
  <c r="F274" i="17" s="1"/>
  <c r="E215" i="17"/>
  <c r="F215" i="17" s="1"/>
  <c r="D255" i="17"/>
  <c r="E255" i="17" s="1"/>
  <c r="F255" i="17" s="1"/>
  <c r="D253" i="18"/>
  <c r="E253" i="18" s="1"/>
  <c r="E245" i="18"/>
  <c r="E202" i="9"/>
  <c r="F205" i="9"/>
  <c r="F267" i="17"/>
  <c r="D288" i="17"/>
  <c r="E288" i="17" s="1"/>
  <c r="F288" i="17" s="1"/>
  <c r="E93" i="6"/>
  <c r="D95" i="7"/>
  <c r="E95" i="7" s="1"/>
  <c r="F95" i="7" s="1"/>
  <c r="D43" i="11"/>
  <c r="E43" i="11" s="1"/>
  <c r="F43" i="11" s="1"/>
  <c r="E22" i="11"/>
  <c r="F22" i="11" s="1"/>
  <c r="C283" i="18"/>
  <c r="C22" i="18"/>
  <c r="E37" i="18"/>
  <c r="E69" i="18"/>
  <c r="C281" i="17"/>
  <c r="F282" i="17"/>
  <c r="F86" i="6"/>
  <c r="C95" i="6"/>
  <c r="F90" i="6"/>
  <c r="D136" i="8"/>
  <c r="D135" i="8"/>
  <c r="E49" i="9"/>
  <c r="E179" i="9"/>
  <c r="D284" i="18"/>
  <c r="F43" i="6"/>
  <c r="F124" i="6"/>
  <c r="F35" i="7"/>
  <c r="F137" i="17"/>
  <c r="C207" i="17"/>
  <c r="C138" i="17"/>
  <c r="E62" i="17"/>
  <c r="F62" i="17" s="1"/>
  <c r="D300" i="17"/>
  <c r="E300" i="17" s="1"/>
  <c r="C247" i="18"/>
  <c r="C52" i="6"/>
  <c r="E51" i="6"/>
  <c r="F81" i="6"/>
  <c r="E130" i="7"/>
  <c r="C188" i="7"/>
  <c r="F130" i="7"/>
  <c r="F76" i="9"/>
  <c r="F88" i="9"/>
  <c r="C68" i="17"/>
  <c r="E68" i="17" s="1"/>
  <c r="E66" i="17"/>
  <c r="F66" i="17"/>
  <c r="E102" i="17"/>
  <c r="F102" i="17" s="1"/>
  <c r="D103" i="17"/>
  <c r="E130" i="17"/>
  <c r="F130" i="17" s="1"/>
  <c r="E136" i="17"/>
  <c r="F136" i="17" s="1"/>
  <c r="F206" i="17"/>
  <c r="C75" i="4"/>
  <c r="E25" i="6"/>
  <c r="F25" i="6" s="1"/>
  <c r="E100" i="15"/>
  <c r="F100" i="15"/>
  <c r="E137" i="17"/>
  <c r="D207" i="17"/>
  <c r="D138" i="17"/>
  <c r="F229" i="17"/>
  <c r="E30" i="7"/>
  <c r="F30" i="7" s="1"/>
  <c r="E62" i="9"/>
  <c r="F89" i="9"/>
  <c r="F114" i="9"/>
  <c r="E208" i="9"/>
  <c r="F208" i="9" s="1"/>
  <c r="E205" i="9"/>
  <c r="F60" i="10"/>
  <c r="E96" i="10"/>
  <c r="D61" i="13"/>
  <c r="D57" i="13" s="1"/>
  <c r="E36" i="17"/>
  <c r="D37" i="17"/>
  <c r="E37" i="17" s="1"/>
  <c r="F37" i="17" s="1"/>
  <c r="D214" i="17"/>
  <c r="D205" i="17"/>
  <c r="E205" i="17" s="1"/>
  <c r="F205" i="17" s="1"/>
  <c r="D229" i="18"/>
  <c r="E229" i="18" s="1"/>
  <c r="D210" i="18"/>
  <c r="E243" i="18"/>
  <c r="E16" i="15"/>
  <c r="F16" i="15"/>
  <c r="E89" i="17"/>
  <c r="F89" i="17" s="1"/>
  <c r="E174" i="18"/>
  <c r="D53" i="8"/>
  <c r="D43" i="8"/>
  <c r="E141" i="9"/>
  <c r="E154" i="9"/>
  <c r="E200" i="9"/>
  <c r="F200" i="9" s="1"/>
  <c r="D175" i="18"/>
  <c r="E175" i="18" s="1"/>
  <c r="E59" i="7"/>
  <c r="F59" i="7" s="1"/>
  <c r="E188" i="7"/>
  <c r="C149" i="8"/>
  <c r="F24" i="9"/>
  <c r="E128" i="9"/>
  <c r="C207" i="9"/>
  <c r="E65" i="11"/>
  <c r="F65" i="11" s="1"/>
  <c r="E37" i="9"/>
  <c r="E114" i="10"/>
  <c r="F114" i="10" s="1"/>
  <c r="F60" i="15"/>
  <c r="F20" i="17"/>
  <c r="F307" i="17"/>
  <c r="E164" i="18"/>
  <c r="E23" i="10"/>
  <c r="C75" i="11"/>
  <c r="F23" i="17"/>
  <c r="E232" i="18"/>
  <c r="E20" i="20"/>
  <c r="F20" i="20" s="1"/>
  <c r="F48" i="10"/>
  <c r="D75" i="11"/>
  <c r="F32" i="12"/>
  <c r="C59" i="13"/>
  <c r="C61" i="13" s="1"/>
  <c r="C57" i="13" s="1"/>
  <c r="C181" i="17"/>
  <c r="C156" i="18"/>
  <c r="E36" i="20"/>
  <c r="F36" i="20" s="1"/>
  <c r="F34" i="20"/>
  <c r="F44" i="20"/>
  <c r="D23" i="22"/>
  <c r="D34" i="22"/>
  <c r="F108" i="10"/>
  <c r="F120" i="10"/>
  <c r="E226" i="17"/>
  <c r="F226" i="17"/>
  <c r="D65" i="18"/>
  <c r="D71" i="18"/>
  <c r="E71" i="18" s="1"/>
  <c r="D163" i="18"/>
  <c r="E163" i="18" s="1"/>
  <c r="D144" i="18"/>
  <c r="F22" i="20"/>
  <c r="E25" i="20"/>
  <c r="F25" i="20" s="1"/>
  <c r="E140" i="9"/>
  <c r="E35" i="10"/>
  <c r="F35" i="10" s="1"/>
  <c r="F59" i="10"/>
  <c r="E71" i="10"/>
  <c r="E108" i="10"/>
  <c r="E120" i="10"/>
  <c r="E30" i="15"/>
  <c r="E179" i="17"/>
  <c r="F238" i="17"/>
  <c r="E279" i="18"/>
  <c r="D303" i="18"/>
  <c r="E153" i="9"/>
  <c r="F204" i="9"/>
  <c r="F83" i="10"/>
  <c r="F116" i="10"/>
  <c r="E118" i="10"/>
  <c r="F118" i="10" s="1"/>
  <c r="E25" i="13"/>
  <c r="E27" i="13" s="1"/>
  <c r="E29" i="17"/>
  <c r="F36" i="17"/>
  <c r="E135" i="17"/>
  <c r="F135" i="17" s="1"/>
  <c r="E238" i="17"/>
  <c r="E60" i="15"/>
  <c r="E75" i="15"/>
  <c r="F75" i="15" s="1"/>
  <c r="D283" i="18"/>
  <c r="E283" i="18" s="1"/>
  <c r="C140" i="8" l="1"/>
  <c r="C138" i="8"/>
  <c r="C137" i="8"/>
  <c r="C136" i="8"/>
  <c r="C139" i="8"/>
  <c r="C135" i="8"/>
  <c r="D139" i="17"/>
  <c r="E139" i="17" s="1"/>
  <c r="E138" i="17"/>
  <c r="F138" i="17" s="1"/>
  <c r="D140" i="17"/>
  <c r="C24" i="8"/>
  <c r="C17" i="8"/>
  <c r="E112" i="8"/>
  <c r="E111" i="8" s="1"/>
  <c r="E28" i="8"/>
  <c r="D112" i="22"/>
  <c r="D55" i="22"/>
  <c r="D37" i="22"/>
  <c r="D47" i="22"/>
  <c r="C305" i="17"/>
  <c r="F181" i="17"/>
  <c r="E181" i="17"/>
  <c r="E316" i="18"/>
  <c r="C127" i="17"/>
  <c r="E126" i="17"/>
  <c r="F126" i="17" s="1"/>
  <c r="C117" i="18"/>
  <c r="C131" i="18" s="1"/>
  <c r="D258" i="18"/>
  <c r="D98" i="18"/>
  <c r="E98" i="18" s="1"/>
  <c r="D83" i="18"/>
  <c r="D101" i="18"/>
  <c r="E101" i="18" s="1"/>
  <c r="D84" i="18"/>
  <c r="D99" i="18"/>
  <c r="D96" i="18"/>
  <c r="E44" i="18"/>
  <c r="D97" i="18"/>
  <c r="D89" i="18"/>
  <c r="D95" i="18"/>
  <c r="D88" i="18"/>
  <c r="D86" i="18"/>
  <c r="E86" i="18" s="1"/>
  <c r="D100" i="18"/>
  <c r="D87" i="18"/>
  <c r="D85" i="18"/>
  <c r="C20" i="8"/>
  <c r="C21" i="8"/>
  <c r="F289" i="17"/>
  <c r="F52" i="6"/>
  <c r="D254" i="17"/>
  <c r="E214" i="17"/>
  <c r="F214" i="17" s="1"/>
  <c r="D216" i="17"/>
  <c r="E216" i="17" s="1"/>
  <c r="F216" i="17" s="1"/>
  <c r="E320" i="18"/>
  <c r="E291" i="17"/>
  <c r="F291" i="17" s="1"/>
  <c r="D305" i="17"/>
  <c r="F281" i="17"/>
  <c r="E270" i="17"/>
  <c r="F270" i="17" s="1"/>
  <c r="C273" i="17"/>
  <c r="F271" i="17"/>
  <c r="D289" i="17"/>
  <c r="E289" i="17" s="1"/>
  <c r="C36" i="14"/>
  <c r="C38" i="14" s="1"/>
  <c r="C40" i="14" s="1"/>
  <c r="I33" i="14"/>
  <c r="I36" i="14" s="1"/>
  <c r="I38" i="14" s="1"/>
  <c r="I40" i="14" s="1"/>
  <c r="H33" i="14"/>
  <c r="H36" i="14" s="1"/>
  <c r="H38" i="14" s="1"/>
  <c r="H40" i="14" s="1"/>
  <c r="E263" i="17"/>
  <c r="F263" i="17" s="1"/>
  <c r="E125" i="17"/>
  <c r="F125" i="17" s="1"/>
  <c r="F286" i="17"/>
  <c r="F95" i="6"/>
  <c r="D111" i="22"/>
  <c r="D30" i="22"/>
  <c r="D36" i="22"/>
  <c r="D40" i="22"/>
  <c r="D46" i="22"/>
  <c r="D54" i="22"/>
  <c r="D104" i="17"/>
  <c r="E104" i="17" s="1"/>
  <c r="F104" i="17" s="1"/>
  <c r="E103" i="17"/>
  <c r="F103" i="17" s="1"/>
  <c r="D105" i="17"/>
  <c r="F188" i="7"/>
  <c r="C140" i="17"/>
  <c r="C139" i="17"/>
  <c r="E95" i="6"/>
  <c r="D43" i="5"/>
  <c r="E35" i="5"/>
  <c r="F35" i="5" s="1"/>
  <c r="C96" i="18"/>
  <c r="C88" i="18"/>
  <c r="C89" i="18"/>
  <c r="C86" i="18"/>
  <c r="C87" i="18"/>
  <c r="C84" i="18"/>
  <c r="C101" i="18"/>
  <c r="C83" i="18"/>
  <c r="C98" i="18"/>
  <c r="C99" i="18"/>
  <c r="C97" i="18"/>
  <c r="C95" i="18"/>
  <c r="C85" i="18"/>
  <c r="C258" i="18"/>
  <c r="C100" i="18"/>
  <c r="E52" i="6"/>
  <c r="C284" i="18"/>
  <c r="E284" i="18" s="1"/>
  <c r="E22" i="18"/>
  <c r="E272" i="17"/>
  <c r="F272" i="17" s="1"/>
  <c r="D273" i="17"/>
  <c r="E273" i="17" s="1"/>
  <c r="D234" i="18"/>
  <c r="E234" i="18" s="1"/>
  <c r="D211" i="18"/>
  <c r="E210" i="18"/>
  <c r="F75" i="4"/>
  <c r="E75" i="4"/>
  <c r="C157" i="18"/>
  <c r="E156" i="18"/>
  <c r="C168" i="18"/>
  <c r="D208" i="17"/>
  <c r="E207" i="17"/>
  <c r="F207" i="17" s="1"/>
  <c r="F68" i="17"/>
  <c r="D168" i="18"/>
  <c r="E168" i="18" s="1"/>
  <c r="D180" i="18"/>
  <c r="E180" i="18" s="1"/>
  <c r="E144" i="18"/>
  <c r="D145" i="18"/>
  <c r="E303" i="18"/>
  <c r="D306" i="18"/>
  <c r="E207" i="9"/>
  <c r="F207" i="9" s="1"/>
  <c r="E75" i="11"/>
  <c r="F75" i="11" s="1"/>
  <c r="E20" i="13"/>
  <c r="E22" i="13"/>
  <c r="E21" i="13"/>
  <c r="D76" i="18"/>
  <c r="D66" i="18"/>
  <c r="D294" i="18"/>
  <c r="E294" i="18" s="1"/>
  <c r="E65" i="18"/>
  <c r="D246" i="18"/>
  <c r="E246" i="18" s="1"/>
  <c r="C208" i="17"/>
  <c r="D141" i="8"/>
  <c r="F265" i="17"/>
  <c r="D109" i="22"/>
  <c r="D108" i="22"/>
  <c r="C113" i="22"/>
  <c r="C56" i="22"/>
  <c r="C38" i="22"/>
  <c r="C48" i="22"/>
  <c r="F268" i="17"/>
  <c r="D42" i="12"/>
  <c r="E34" i="12"/>
  <c r="F34" i="12" s="1"/>
  <c r="E281" i="17"/>
  <c r="C49" i="12"/>
  <c r="D90" i="18" l="1"/>
  <c r="E84" i="18"/>
  <c r="D56" i="22"/>
  <c r="D48" i="22"/>
  <c r="D38" i="22"/>
  <c r="D113" i="22"/>
  <c r="E88" i="18"/>
  <c r="C102" i="18"/>
  <c r="D106" i="17"/>
  <c r="E105" i="17"/>
  <c r="F105" i="17" s="1"/>
  <c r="E305" i="17"/>
  <c r="D309" i="17"/>
  <c r="D103" i="18"/>
  <c r="E95" i="18"/>
  <c r="E83" i="18"/>
  <c r="D91" i="18"/>
  <c r="C141" i="8"/>
  <c r="E157" i="18"/>
  <c r="C169" i="18"/>
  <c r="C141" i="17"/>
  <c r="F140" i="17"/>
  <c r="C148" i="17"/>
  <c r="F127" i="17"/>
  <c r="C197" i="17"/>
  <c r="E127" i="17"/>
  <c r="D310" i="18"/>
  <c r="E310" i="18" s="1"/>
  <c r="E306" i="18"/>
  <c r="E22" i="8"/>
  <c r="E99" i="8"/>
  <c r="E101" i="8" s="1"/>
  <c r="E98" i="8" s="1"/>
  <c r="E97" i="18"/>
  <c r="D209" i="17"/>
  <c r="E208" i="17"/>
  <c r="D210" i="17"/>
  <c r="E211" i="18"/>
  <c r="D235" i="18"/>
  <c r="E235" i="18" s="1"/>
  <c r="C264" i="18"/>
  <c r="C266" i="18" s="1"/>
  <c r="C267" i="18" s="1"/>
  <c r="C90" i="18"/>
  <c r="C91" i="18" s="1"/>
  <c r="C105" i="18" s="1"/>
  <c r="E85" i="18"/>
  <c r="C112" i="8"/>
  <c r="C111" i="8" s="1"/>
  <c r="C28" i="8"/>
  <c r="E89" i="18"/>
  <c r="D77" i="18"/>
  <c r="E76" i="18"/>
  <c r="D259" i="18"/>
  <c r="E258" i="18"/>
  <c r="F139" i="17"/>
  <c r="E87" i="18"/>
  <c r="E96" i="18"/>
  <c r="D102" i="18"/>
  <c r="E102" i="18" s="1"/>
  <c r="C309" i="17"/>
  <c r="F305" i="17"/>
  <c r="E66" i="18"/>
  <c r="D295" i="18"/>
  <c r="E295" i="18" s="1"/>
  <c r="D247" i="18"/>
  <c r="E247" i="18" s="1"/>
  <c r="D49" i="12"/>
  <c r="E49" i="12" s="1"/>
  <c r="F49" i="12" s="1"/>
  <c r="E42" i="12"/>
  <c r="F42" i="12" s="1"/>
  <c r="D50" i="5"/>
  <c r="E50" i="5" s="1"/>
  <c r="F50" i="5" s="1"/>
  <c r="E43" i="5"/>
  <c r="F43" i="5" s="1"/>
  <c r="C209" i="17"/>
  <c r="C210" i="17"/>
  <c r="F208" i="17"/>
  <c r="E145" i="18"/>
  <c r="D181" i="18"/>
  <c r="E181" i="18" s="1"/>
  <c r="D169" i="18"/>
  <c r="E169" i="18" s="1"/>
  <c r="C103" i="18"/>
  <c r="F273" i="17"/>
  <c r="E254" i="17"/>
  <c r="F254" i="17" s="1"/>
  <c r="E100" i="18"/>
  <c r="E99" i="18"/>
  <c r="D141" i="17"/>
  <c r="E140" i="17"/>
  <c r="C269" i="18" l="1"/>
  <c r="C268" i="18"/>
  <c r="C271" i="18" s="1"/>
  <c r="F141" i="17"/>
  <c r="C322" i="17"/>
  <c r="C211" i="17"/>
  <c r="E309" i="17"/>
  <c r="F309" i="17" s="1"/>
  <c r="D310" i="17"/>
  <c r="E209" i="17"/>
  <c r="F209" i="17" s="1"/>
  <c r="E141" i="17"/>
  <c r="D322" i="17"/>
  <c r="D148" i="17"/>
  <c r="E148" i="17" s="1"/>
  <c r="F148" i="17" s="1"/>
  <c r="C310" i="17"/>
  <c r="D115" i="18"/>
  <c r="E115" i="18" s="1"/>
  <c r="D114" i="18"/>
  <c r="E114" i="18" s="1"/>
  <c r="D113" i="18"/>
  <c r="E113" i="18" s="1"/>
  <c r="D112" i="18"/>
  <c r="E112" i="18" s="1"/>
  <c r="D126" i="18"/>
  <c r="E126" i="18" s="1"/>
  <c r="D121" i="18"/>
  <c r="D124" i="18"/>
  <c r="E124" i="18" s="1"/>
  <c r="D110" i="18"/>
  <c r="D122" i="18"/>
  <c r="E77" i="18"/>
  <c r="D111" i="18"/>
  <c r="E111" i="18" s="1"/>
  <c r="D109" i="18"/>
  <c r="D123" i="18"/>
  <c r="E123" i="18" s="1"/>
  <c r="D125" i="18"/>
  <c r="E125" i="18" s="1"/>
  <c r="D127" i="18"/>
  <c r="E127" i="18" s="1"/>
  <c r="C99" i="8"/>
  <c r="C101" i="8" s="1"/>
  <c r="C98" i="8" s="1"/>
  <c r="C22" i="8"/>
  <c r="E210" i="17"/>
  <c r="D211" i="17"/>
  <c r="D324" i="17"/>
  <c r="D113" i="17"/>
  <c r="E113" i="17" s="1"/>
  <c r="F113" i="17" s="1"/>
  <c r="E106" i="17"/>
  <c r="F106" i="17" s="1"/>
  <c r="D263" i="18"/>
  <c r="E259" i="18"/>
  <c r="E103" i="18"/>
  <c r="F210" i="17"/>
  <c r="F197" i="17"/>
  <c r="E197" i="17"/>
  <c r="E91" i="18"/>
  <c r="D105" i="18"/>
  <c r="E105" i="18" s="1"/>
  <c r="E90" i="18"/>
  <c r="D116" i="18" l="1"/>
  <c r="E116" i="18" s="1"/>
  <c r="E110" i="18"/>
  <c r="E263" i="18"/>
  <c r="D264" i="18"/>
  <c r="C312" i="17"/>
  <c r="F310" i="17"/>
  <c r="F322" i="17"/>
  <c r="C325" i="17"/>
  <c r="E322" i="17"/>
  <c r="E121" i="18"/>
  <c r="E324" i="17"/>
  <c r="F324" i="17" s="1"/>
  <c r="D325" i="17"/>
  <c r="E109" i="18"/>
  <c r="D117" i="18"/>
  <c r="D128" i="18"/>
  <c r="E128" i="18" s="1"/>
  <c r="E122" i="18"/>
  <c r="F211" i="17"/>
  <c r="E211" i="17"/>
  <c r="D312" i="17"/>
  <c r="E310" i="17"/>
  <c r="E117" i="18" l="1"/>
  <c r="E312" i="17"/>
  <c r="D313" i="17"/>
  <c r="E264" i="18"/>
  <c r="D266" i="18"/>
  <c r="D129" i="18"/>
  <c r="E129" i="18" s="1"/>
  <c r="F325" i="17"/>
  <c r="E325" i="17"/>
  <c r="C313" i="17"/>
  <c r="F312" i="17"/>
  <c r="E266" i="18" l="1"/>
  <c r="D267" i="18"/>
  <c r="D251" i="17"/>
  <c r="E251" i="17" s="1"/>
  <c r="E313" i="17"/>
  <c r="F313" i="17" s="1"/>
  <c r="D315" i="17"/>
  <c r="E315" i="17" s="1"/>
  <c r="D314" i="17"/>
  <c r="D256" i="17"/>
  <c r="C256" i="17"/>
  <c r="C251" i="17"/>
  <c r="C314" i="17"/>
  <c r="C315" i="17"/>
  <c r="D131" i="18"/>
  <c r="E131" i="18" s="1"/>
  <c r="E256" i="17" l="1"/>
  <c r="D257" i="17"/>
  <c r="C257" i="17"/>
  <c r="F256" i="17"/>
  <c r="D318" i="17"/>
  <c r="E314" i="17"/>
  <c r="F314" i="17" s="1"/>
  <c r="F315" i="17"/>
  <c r="C318" i="17"/>
  <c r="F251" i="17"/>
  <c r="D268" i="18"/>
  <c r="E267" i="18"/>
  <c r="D269" i="18"/>
  <c r="E269" i="18" s="1"/>
  <c r="E318" i="17" l="1"/>
  <c r="F318" i="17" s="1"/>
  <c r="D271" i="18"/>
  <c r="E271" i="18" s="1"/>
  <c r="E268" i="18"/>
  <c r="E257" i="17"/>
  <c r="F257" i="17" s="1"/>
</calcChain>
</file>

<file path=xl/sharedStrings.xml><?xml version="1.0" encoding="utf-8"?>
<sst xmlns="http://schemas.openxmlformats.org/spreadsheetml/2006/main" count="2333" uniqueCount="1008">
  <si>
    <t>BRIDGEPORT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</si>
  <si>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</si>
  <si>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</si>
  <si>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</si>
  <si>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</si>
  <si>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</si>
  <si>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</si>
  <si>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</si>
  <si>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</si>
  <si>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</si>
  <si>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</si>
  <si>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</si>
  <si>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</si>
  <si>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</si>
  <si>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</si>
  <si>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</si>
  <si>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</si>
  <si>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</si>
  <si>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</si>
  <si>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</si>
  <si>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</si>
  <si>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</si>
  <si>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</si>
  <si>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</si>
  <si>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</si>
  <si>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</si>
  <si>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</si>
  <si>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</si>
  <si>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</si>
  <si>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</si>
  <si>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</si>
  <si>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</si>
  <si>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</si>
  <si>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</si>
  <si>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</si>
  <si>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</si>
  <si>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</si>
  <si>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</si>
  <si>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</si>
  <si>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</si>
  <si>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</si>
  <si>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</si>
  <si>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</si>
  <si>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</si>
  <si>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</si>
  <si>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</si>
  <si>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</si>
  <si>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</si>
  <si>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</si>
  <si>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</si>
  <si>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</si>
  <si>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</si>
  <si>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</si>
  <si>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</si>
  <si>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</si>
  <si>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</si>
  <si>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</si>
  <si>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</si>
  <si>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</si>
  <si>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</si>
  <si>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</si>
  <si>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</si>
  <si>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</si>
  <si>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</si>
  <si>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</si>
  <si>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</si>
  <si>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</si>
  <si>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</si>
  <si>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</si>
  <si>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</si>
  <si>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</si>
  <si>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</si>
  <si>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</si>
  <si>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</si>
  <si>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</si>
  <si>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</si>
  <si>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</si>
  <si>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</si>
  <si>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</si>
  <si>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</si>
  <si>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</si>
  <si>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</si>
  <si>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</si>
  <si>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</si>
  <si>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</si>
  <si>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</si>
  <si>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</si>
  <si>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</si>
  <si>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</si>
  <si>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</si>
  <si>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</si>
  <si>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</si>
  <si>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</si>
  <si>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</si>
  <si>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</si>
  <si>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</si>
  <si>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</si>
  <si>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</si>
  <si>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</si>
  <si>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</si>
  <si>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</si>
  <si>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</si>
  <si>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</si>
  <si>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</si>
  <si>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</si>
  <si>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</si>
  <si>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</si>
  <si>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</si>
  <si>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</si>
  <si>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</si>
  <si>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</si>
  <si>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</si>
  <si>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</si>
  <si>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</si>
  <si>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</si>
  <si>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</si>
  <si>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</si>
  <si>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</si>
  <si>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</si>
  <si>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</si>
  <si>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</si>
  <si>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</si>
  <si>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</si>
  <si>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</si>
  <si>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</si>
  <si>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</si>
  <si>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</si>
  <si>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</si>
  <si>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</si>
  <si>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</si>
  <si>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</si>
  <si>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</si>
  <si>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</si>
  <si>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</si>
  <si>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</si>
  <si>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</si>
  <si>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</si>
  <si>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</si>
  <si>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</si>
  <si>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</si>
  <si>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</si>
  <si>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</si>
  <si>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</si>
  <si>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</si>
  <si>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</si>
  <si>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</si>
  <si>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</si>
  <si>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</si>
  <si>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</si>
  <si>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</si>
  <si>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</si>
  <si>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</si>
  <si>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</si>
  <si>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</si>
  <si>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</si>
  <si>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</si>
  <si>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</si>
  <si>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</si>
  <si>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</si>
  <si>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</si>
  <si>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</si>
  <si>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</si>
  <si>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</si>
  <si>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</si>
  <si>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</si>
  <si>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</si>
  <si>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</si>
  <si>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</si>
  <si>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</si>
  <si>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</si>
  <si>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</si>
  <si>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</si>
  <si>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</si>
  <si>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</si>
  <si>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</si>
  <si>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</si>
  <si>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</si>
  <si>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</si>
  <si>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</si>
  <si>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</si>
  <si>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</si>
  <si>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</si>
  <si>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</si>
  <si>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</si>
  <si>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</si>
  <si>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</si>
  <si>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</si>
  <si>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</si>
  <si>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</si>
  <si>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</si>
  <si>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</si>
  <si>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</si>
  <si>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</si>
  <si>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</si>
  <si>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</si>
  <si>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</si>
  <si>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</si>
  <si>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</si>
  <si>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</si>
  <si>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</si>
  <si>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</si>
  <si>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</si>
  <si>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</si>
  <si>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</si>
  <si>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</si>
  <si>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</si>
  <si>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</si>
  <si>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</si>
  <si>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</si>
  <si>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</si>
  <si>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</si>
  <si>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</si>
  <si>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</si>
  <si>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</si>
  <si>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</si>
  <si>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</si>
  <si>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</si>
  <si>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</si>
  <si>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</si>
  <si>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</si>
  <si>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</si>
  <si>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</si>
  <si>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</si>
  <si>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</si>
  <si>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</si>
  <si>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</si>
  <si>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</si>
  <si>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</si>
  <si>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</si>
  <si>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</si>
  <si>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</si>
  <si>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</si>
  <si>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</si>
  <si>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</si>
  <si>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</si>
  <si>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</si>
  <si>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</si>
  <si>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</si>
  <si>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</si>
  <si>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</si>
  <si>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</si>
  <si>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</si>
  <si>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</si>
  <si>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</si>
  <si>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</si>
  <si>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</si>
  <si>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</si>
  <si>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</si>
  <si>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</si>
  <si>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</si>
  <si>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</si>
  <si>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</si>
  <si>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</si>
  <si>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</si>
  <si>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</si>
  <si>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</si>
  <si>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</si>
  <si>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</si>
  <si>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</si>
  <si>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</si>
  <si>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</si>
  <si>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</si>
  <si>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</si>
  <si>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</si>
  <si>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</si>
  <si>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</si>
  <si>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</si>
  <si>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</si>
  <si>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</si>
  <si>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</si>
  <si>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</si>
  <si>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</si>
  <si>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</si>
  <si>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</si>
  <si>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</si>
  <si>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</si>
  <si>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</si>
  <si>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</si>
  <si>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</si>
  <si>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</si>
  <si>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</si>
  <si>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</si>
  <si>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</si>
  <si>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</si>
  <si>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</si>
  <si>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</si>
  <si>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</si>
  <si>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</si>
  <si>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</si>
  <si>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</si>
  <si>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</si>
  <si>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</si>
  <si>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</si>
  <si>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</si>
  <si>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</si>
  <si>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</si>
  <si>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</si>
  <si>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</si>
  <si>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</si>
  <si>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</si>
  <si>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</si>
  <si>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</si>
  <si>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</si>
  <si>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</si>
  <si>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</si>
  <si>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</si>
  <si>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</si>
  <si>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</si>
  <si>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</si>
  <si>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</si>
  <si>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</si>
  <si>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</si>
  <si>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</si>
  <si>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</si>
  <si>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</si>
  <si>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</si>
  <si>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</si>
  <si>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</si>
  <si>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</si>
  <si>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</si>
  <si>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</si>
  <si>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</si>
  <si>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</si>
  <si>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</si>
  <si>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</si>
  <si>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</si>
  <si>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</si>
  <si>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</si>
  <si>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</si>
  <si>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</si>
  <si>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</si>
  <si>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</si>
  <si>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</si>
  <si>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</si>
  <si>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</si>
  <si>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</si>
  <si>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</si>
  <si>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</si>
  <si>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</si>
  <si>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</si>
  <si>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</si>
  <si>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</si>
  <si>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</si>
  <si>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</si>
  <si>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</si>
  <si>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</si>
  <si>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</si>
  <si>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</si>
  <si>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</si>
  <si>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</si>
  <si>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</si>
  <si>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</si>
  <si>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</si>
  <si>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</si>
  <si>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</si>
  <si>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</si>
  <si>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</si>
  <si>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</si>
  <si>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</si>
  <si>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</si>
  <si>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</si>
  <si>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</si>
  <si>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</si>
  <si>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</si>
  <si>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</si>
  <si>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</si>
  <si>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</si>
  <si>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</si>
  <si>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</si>
  <si>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</si>
  <si>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</si>
  <si>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</si>
  <si>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</si>
  <si>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</si>
  <si>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</si>
  <si>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</si>
  <si>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</si>
  <si>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</si>
  <si>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</si>
  <si>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</si>
  <si>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</si>
  <si>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</si>
  <si>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</si>
  <si>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</si>
  <si>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</si>
  <si>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</si>
  <si>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</si>
  <si>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</si>
  <si>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</si>
  <si>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</si>
  <si>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</si>
  <si>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</si>
  <si>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</si>
  <si>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</si>
  <si>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</si>
  <si>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</si>
  <si>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</si>
  <si>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</si>
  <si>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</si>
  <si>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</si>
  <si>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</si>
  <si>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</si>
  <si>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</si>
  <si>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</si>
  <si>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</si>
  <si>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</si>
  <si>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</si>
  <si>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</si>
  <si>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</si>
  <si>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</si>
  <si>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</si>
  <si>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</si>
  <si>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</si>
  <si>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</si>
  <si>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</si>
  <si>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</si>
  <si>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</si>
  <si>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</si>
  <si>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</si>
  <si>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</si>
  <si>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</si>
  <si>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</si>
  <si>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</si>
  <si>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</si>
  <si>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</si>
  <si>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</si>
  <si>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</si>
  <si>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</si>
  <si>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</si>
  <si>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</si>
  <si>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</si>
  <si>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</si>
  <si>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</si>
  <si>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</si>
  <si>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</si>
  <si>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</si>
  <si>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</si>
  <si>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</si>
  <si>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</si>
  <si>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</si>
  <si>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</si>
  <si>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</si>
  <si>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</si>
  <si>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</si>
  <si>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</si>
  <si>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</si>
  <si>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</si>
  <si>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</si>
  <si>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</si>
  <si>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</si>
  <si>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</si>
  <si>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</si>
  <si>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</si>
  <si>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</si>
  <si>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</si>
  <si>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</si>
  <si>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</si>
  <si>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</si>
  <si>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</si>
  <si>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</si>
  <si>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</si>
  <si>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</si>
  <si>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</si>
  <si>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</si>
  <si>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</si>
  <si>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</si>
  <si>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</si>
  <si>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</si>
  <si>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</si>
  <si>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</si>
  <si>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</si>
  <si>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</si>
  <si>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</si>
  <si>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</si>
  <si>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</si>
  <si>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</si>
  <si>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</si>
  <si>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</si>
  <si>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</si>
  <si>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</si>
  <si>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</si>
  <si>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</si>
  <si>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</si>
  <si>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</si>
  <si>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</si>
  <si>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</si>
  <si>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</si>
  <si>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</si>
  <si>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</si>
  <si>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</si>
  <si>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</si>
  <si>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</si>
  <si>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</si>
  <si>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</si>
  <si>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</si>
  <si>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</si>
  <si>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</si>
  <si>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</si>
  <si>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</si>
  <si>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</si>
  <si>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BRIDGEPORT HOSPITAL &amp; HEALTHCARE SERVICES,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</si>
  <si>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</si>
  <si>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</si>
  <si>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</si>
  <si>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</si>
  <si>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</si>
  <si>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</si>
  <si>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</si>
  <si>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</si>
  <si>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</si>
  <si>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</si>
  <si>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</si>
  <si>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</si>
  <si>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</si>
  <si>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</si>
  <si>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</si>
  <si>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</si>
  <si>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</si>
  <si>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</si>
  <si>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</si>
  <si>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</si>
  <si>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</si>
  <si>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</si>
  <si>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</si>
  <si>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</si>
  <si>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</si>
  <si>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</si>
  <si>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</si>
  <si>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</si>
  <si>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</si>
  <si>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</si>
  <si>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</si>
  <si>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</si>
  <si>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</si>
  <si>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</si>
  <si>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</si>
  <si>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</si>
  <si>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</si>
  <si>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</si>
  <si>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</si>
  <si>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</si>
  <si>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</si>
  <si>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</si>
  <si>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</si>
  <si>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</si>
  <si>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</si>
  <si>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</si>
  <si>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</si>
  <si>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</si>
  <si>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</si>
  <si>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</si>
  <si>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</si>
  <si>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</si>
  <si>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</si>
  <si>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</si>
  <si>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</si>
  <si>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</si>
  <si>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</si>
  <si>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</si>
  <si>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</si>
  <si>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</si>
  <si>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</si>
  <si>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</si>
  <si>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</si>
  <si>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</si>
  <si>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</si>
  <si>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</si>
  <si>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</si>
  <si>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</si>
  <si>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</si>
  <si>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</si>
  <si>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</si>
  <si>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</si>
  <si>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</si>
  <si>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</si>
  <si>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</si>
  <si>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</si>
  <si>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</si>
  <si>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</si>
  <si>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</si>
  <si>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</si>
  <si>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</si>
  <si>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</si>
  <si>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</si>
  <si>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</si>
  <si>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</si>
  <si>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</si>
  <si>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</si>
  <si>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</si>
  <si>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</si>
  <si>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</si>
  <si>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</si>
  <si>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</si>
  <si>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</si>
  <si>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</si>
  <si>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</si>
  <si>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</si>
  <si>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</si>
  <si>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</si>
  <si>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</si>
  <si>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</si>
  <si>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</si>
  <si>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</si>
  <si>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</si>
  <si>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</si>
  <si>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</si>
  <si>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</si>
  <si>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</si>
  <si>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</si>
  <si>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</si>
  <si>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</si>
  <si>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</si>
  <si>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</si>
  <si>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</si>
  <si>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</si>
  <si>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</si>
  <si>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</si>
  <si>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</si>
  <si>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</si>
  <si>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</si>
  <si>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</si>
  <si>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Bridgeport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</si>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</sst>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15511000</v>
      </c>
      <c r="D13" s="22">
        <v>30127000</v>
      </c>
      <c r="E13" s="22">
        <f t="shared" ref="E13:E22" si="0">D13-C13</f>
        <v>14616000</v>
      </c>
      <c r="F13" s="23">
        <f t="shared" ref="F13:F22" si="1">IF(C13=0,0,E13/C13)</f>
        <v>0.9422990136032493</v>
      </c>
    </row>
    <row r="14" spans="1:8" ht="24" customHeight="1" x14ac:dyDescent="0.2">
      <c r="A14" s="20">
        <v>2</v>
      </c>
      <c r="B14" s="21" t="s">
        <v>17</v>
      </c>
      <c r="C14" s="22">
        <v>41452000</v>
      </c>
      <c r="D14" s="22">
        <v>33642000</v>
      </c>
      <c r="E14" s="22">
        <f t="shared" si="0"/>
        <v>-7810000</v>
      </c>
      <c r="F14" s="23">
        <f t="shared" si="1"/>
        <v>-0.18841069188458939</v>
      </c>
    </row>
    <row r="15" spans="1:8" ht="24" customHeight="1" x14ac:dyDescent="0.2">
      <c r="A15" s="20">
        <v>3</v>
      </c>
      <c r="B15" s="21" t="s">
        <v>18</v>
      </c>
      <c r="C15" s="22">
        <v>42983000</v>
      </c>
      <c r="D15" s="22">
        <v>51432000</v>
      </c>
      <c r="E15" s="22">
        <f t="shared" si="0"/>
        <v>8449000</v>
      </c>
      <c r="F15" s="23">
        <f t="shared" si="1"/>
        <v>0.19656608426587255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11424000</v>
      </c>
      <c r="D18" s="22">
        <v>10552000</v>
      </c>
      <c r="E18" s="22">
        <f t="shared" si="0"/>
        <v>-872000</v>
      </c>
      <c r="F18" s="23">
        <f t="shared" si="1"/>
        <v>-7.633053221288516E-2</v>
      </c>
    </row>
    <row r="19" spans="1:11" ht="24" customHeight="1" x14ac:dyDescent="0.2">
      <c r="A19" s="20">
        <v>7</v>
      </c>
      <c r="B19" s="21" t="s">
        <v>22</v>
      </c>
      <c r="C19" s="22">
        <v>3618000</v>
      </c>
      <c r="D19" s="22">
        <v>4271000</v>
      </c>
      <c r="E19" s="22">
        <f t="shared" si="0"/>
        <v>653000</v>
      </c>
      <c r="F19" s="23">
        <f t="shared" si="1"/>
        <v>0.1804864566058596</v>
      </c>
    </row>
    <row r="20" spans="1:11" ht="24" customHeight="1" x14ac:dyDescent="0.2">
      <c r="A20" s="20">
        <v>8</v>
      </c>
      <c r="B20" s="21" t="s">
        <v>23</v>
      </c>
      <c r="C20" s="22">
        <v>4453000</v>
      </c>
      <c r="D20" s="22">
        <v>8554000</v>
      </c>
      <c r="E20" s="22">
        <f t="shared" si="0"/>
        <v>4101000</v>
      </c>
      <c r="F20" s="23">
        <f t="shared" si="1"/>
        <v>0.92095216707837413</v>
      </c>
    </row>
    <row r="21" spans="1:11" ht="24" customHeight="1" x14ac:dyDescent="0.2">
      <c r="A21" s="20">
        <v>9</v>
      </c>
      <c r="B21" s="21" t="s">
        <v>24</v>
      </c>
      <c r="C21" s="22">
        <v>9585000</v>
      </c>
      <c r="D21" s="22">
        <v>4885000</v>
      </c>
      <c r="E21" s="22">
        <f t="shared" si="0"/>
        <v>-4700000</v>
      </c>
      <c r="F21" s="23">
        <f t="shared" si="1"/>
        <v>-0.49034950443401149</v>
      </c>
    </row>
    <row r="22" spans="1:11" ht="24" customHeight="1" x14ac:dyDescent="0.25">
      <c r="A22" s="24"/>
      <c r="B22" s="25" t="s">
        <v>25</v>
      </c>
      <c r="C22" s="26">
        <f>SUM(C13:C21)</f>
        <v>129026000</v>
      </c>
      <c r="D22" s="26">
        <f>SUM(D13:D21)</f>
        <v>143463000</v>
      </c>
      <c r="E22" s="26">
        <f t="shared" si="0"/>
        <v>14437000</v>
      </c>
      <c r="F22" s="27">
        <f t="shared" si="1"/>
        <v>0.11189217677057338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0</v>
      </c>
      <c r="D29" s="26">
        <f>SUM(D25:D28)</f>
        <v>0</v>
      </c>
      <c r="E29" s="26">
        <f>D29-C29</f>
        <v>0</v>
      </c>
      <c r="F29" s="27">
        <f>IF(C29=0,0,E29/C29)</f>
        <v>0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55179000</v>
      </c>
      <c r="D31" s="22">
        <v>60014000</v>
      </c>
      <c r="E31" s="22">
        <f>D31-C31</f>
        <v>4835000</v>
      </c>
      <c r="F31" s="23">
        <f>IF(C31=0,0,E31/C31)</f>
        <v>8.7623914895159388E-2</v>
      </c>
    </row>
    <row r="32" spans="1:11" ht="24" customHeight="1" x14ac:dyDescent="0.2">
      <c r="A32" s="20">
        <v>6</v>
      </c>
      <c r="B32" s="21" t="s">
        <v>34</v>
      </c>
      <c r="C32" s="22">
        <v>21778000</v>
      </c>
      <c r="D32" s="22">
        <v>24082000</v>
      </c>
      <c r="E32" s="22">
        <f>D32-C32</f>
        <v>2304000</v>
      </c>
      <c r="F32" s="23">
        <f>IF(C32=0,0,E32/C32)</f>
        <v>0.10579483882817522</v>
      </c>
    </row>
    <row r="33" spans="1:8" ht="24" customHeight="1" x14ac:dyDescent="0.2">
      <c r="A33" s="20">
        <v>7</v>
      </c>
      <c r="B33" s="21" t="s">
        <v>35</v>
      </c>
      <c r="C33" s="22">
        <v>55865000</v>
      </c>
      <c r="D33" s="22">
        <v>70042000</v>
      </c>
      <c r="E33" s="22">
        <f>D33-C33</f>
        <v>14177000</v>
      </c>
      <c r="F33" s="23">
        <f>IF(C33=0,0,E33/C33)</f>
        <v>0.25377248724603957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394494000</v>
      </c>
      <c r="D36" s="22">
        <v>408633000</v>
      </c>
      <c r="E36" s="22">
        <f>D36-C36</f>
        <v>14139000</v>
      </c>
      <c r="F36" s="23">
        <f>IF(C36=0,0,E36/C36)</f>
        <v>3.5840849290483506E-2</v>
      </c>
    </row>
    <row r="37" spans="1:8" ht="24" customHeight="1" x14ac:dyDescent="0.2">
      <c r="A37" s="20">
        <v>2</v>
      </c>
      <c r="B37" s="21" t="s">
        <v>39</v>
      </c>
      <c r="C37" s="22">
        <v>283721000</v>
      </c>
      <c r="D37" s="22">
        <v>285402000</v>
      </c>
      <c r="E37" s="22">
        <f>D37-C37</f>
        <v>1681000</v>
      </c>
      <c r="F37" s="23">
        <f>IF(C37=0,0,E37/C37)</f>
        <v>5.9248346086472276E-3</v>
      </c>
    </row>
    <row r="38" spans="1:8" ht="24" customHeight="1" x14ac:dyDescent="0.25">
      <c r="A38" s="24"/>
      <c r="B38" s="25" t="s">
        <v>40</v>
      </c>
      <c r="C38" s="26">
        <f>C36-C37</f>
        <v>110773000</v>
      </c>
      <c r="D38" s="26">
        <f>D36-D37</f>
        <v>123231000</v>
      </c>
      <c r="E38" s="26">
        <f>D38-C38</f>
        <v>12458000</v>
      </c>
      <c r="F38" s="27">
        <f>IF(C38=0,0,E38/C38)</f>
        <v>0.11246422864777518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17163000</v>
      </c>
      <c r="D40" s="22">
        <v>19477000</v>
      </c>
      <c r="E40" s="22">
        <f>D40-C40</f>
        <v>2314000</v>
      </c>
      <c r="F40" s="23">
        <f>IF(C40=0,0,E40/C40)</f>
        <v>0.13482491405931363</v>
      </c>
    </row>
    <row r="41" spans="1:8" ht="24" customHeight="1" x14ac:dyDescent="0.25">
      <c r="A41" s="24"/>
      <c r="B41" s="25" t="s">
        <v>42</v>
      </c>
      <c r="C41" s="26">
        <f>+C38+C40</f>
        <v>127936000</v>
      </c>
      <c r="D41" s="26">
        <f>+D38+D40</f>
        <v>142708000</v>
      </c>
      <c r="E41" s="26">
        <f>D41-C41</f>
        <v>14772000</v>
      </c>
      <c r="F41" s="27">
        <f>IF(C41=0,0,E41/C41)</f>
        <v>0.1154639819909955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389784000</v>
      </c>
      <c r="D43" s="26">
        <f>D22+D29+D31+D32+D33+D41</f>
        <v>440309000</v>
      </c>
      <c r="E43" s="26">
        <f>D43-C43</f>
        <v>50525000</v>
      </c>
      <c r="F43" s="27">
        <f>IF(C43=0,0,E43/C43)</f>
        <v>0.12962307329187447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10208000</v>
      </c>
      <c r="D49" s="22">
        <v>16363000</v>
      </c>
      <c r="E49" s="22">
        <f t="shared" ref="E49:E56" si="2">D49-C49</f>
        <v>6155000</v>
      </c>
      <c r="F49" s="23">
        <f t="shared" ref="F49:F56" si="3">IF(C49=0,0,E49/C49)</f>
        <v>0.60295846394984332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48554000</v>
      </c>
      <c r="D50" s="22">
        <v>49185000</v>
      </c>
      <c r="E50" s="22">
        <f t="shared" si="2"/>
        <v>631000</v>
      </c>
      <c r="F50" s="23">
        <f t="shared" si="3"/>
        <v>1.2995839683651193E-2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11424000</v>
      </c>
      <c r="D51" s="22">
        <v>10552000</v>
      </c>
      <c r="E51" s="22">
        <f t="shared" si="2"/>
        <v>-872000</v>
      </c>
      <c r="F51" s="23">
        <f t="shared" si="3"/>
        <v>-7.633053221288516E-2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3809000</v>
      </c>
      <c r="D53" s="22">
        <v>32205000</v>
      </c>
      <c r="E53" s="22">
        <f t="shared" si="2"/>
        <v>28396000</v>
      </c>
      <c r="F53" s="23">
        <f t="shared" si="3"/>
        <v>7.4549750590706223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6775000</v>
      </c>
      <c r="D55" s="22">
        <v>5306000</v>
      </c>
      <c r="E55" s="22">
        <f t="shared" si="2"/>
        <v>-1469000</v>
      </c>
      <c r="F55" s="23">
        <f t="shared" si="3"/>
        <v>-0.21682656826568267</v>
      </c>
    </row>
    <row r="56" spans="1:6" ht="24" customHeight="1" x14ac:dyDescent="0.25">
      <c r="A56" s="24"/>
      <c r="B56" s="25" t="s">
        <v>54</v>
      </c>
      <c r="C56" s="26">
        <f>SUM(C49:C55)</f>
        <v>80770000</v>
      </c>
      <c r="D56" s="26">
        <f>SUM(D49:D55)</f>
        <v>113611000</v>
      </c>
      <c r="E56" s="26">
        <f t="shared" si="2"/>
        <v>32841000</v>
      </c>
      <c r="F56" s="27">
        <f t="shared" si="3"/>
        <v>0.40659898477157358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47436000</v>
      </c>
      <c r="D59" s="22">
        <v>49202000</v>
      </c>
      <c r="E59" s="22">
        <f>D59-C59</f>
        <v>1766000</v>
      </c>
      <c r="F59" s="23">
        <f>IF(C59=0,0,E59/C59)</f>
        <v>3.7229108693819041E-2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47436000</v>
      </c>
      <c r="D61" s="26">
        <f>SUM(D59:D60)</f>
        <v>49202000</v>
      </c>
      <c r="E61" s="26">
        <f>D61-C61</f>
        <v>1766000</v>
      </c>
      <c r="F61" s="27">
        <f>IF(C61=0,0,E61/C61)</f>
        <v>3.7229108693819041E-2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60816000</v>
      </c>
      <c r="D63" s="22">
        <v>36720000</v>
      </c>
      <c r="E63" s="22">
        <f>D63-C63</f>
        <v>-24096000</v>
      </c>
      <c r="F63" s="23">
        <f>IF(C63=0,0,E63/C63)</f>
        <v>-0.39621152328334647</v>
      </c>
    </row>
    <row r="64" spans="1:6" ht="24" customHeight="1" x14ac:dyDescent="0.2">
      <c r="A64" s="20">
        <v>4</v>
      </c>
      <c r="B64" s="21" t="s">
        <v>60</v>
      </c>
      <c r="C64" s="22">
        <v>77504000</v>
      </c>
      <c r="D64" s="22">
        <v>64916000</v>
      </c>
      <c r="E64" s="22">
        <f>D64-C64</f>
        <v>-12588000</v>
      </c>
      <c r="F64" s="23">
        <f>IF(C64=0,0,E64/C64)</f>
        <v>-0.16241742361684558</v>
      </c>
    </row>
    <row r="65" spans="1:6" ht="24" customHeight="1" x14ac:dyDescent="0.25">
      <c r="A65" s="24"/>
      <c r="B65" s="25" t="s">
        <v>61</v>
      </c>
      <c r="C65" s="26">
        <f>SUM(C61:C64)</f>
        <v>185756000</v>
      </c>
      <c r="D65" s="26">
        <f>SUM(D61:D64)</f>
        <v>150838000</v>
      </c>
      <c r="E65" s="26">
        <f>D65-C65</f>
        <v>-34918000</v>
      </c>
      <c r="F65" s="27">
        <f>IF(C65=0,0,E65/C65)</f>
        <v>-0.18797777729925277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74554000</v>
      </c>
      <c r="D70" s="22">
        <v>123039000</v>
      </c>
      <c r="E70" s="22">
        <f>D70-C70</f>
        <v>48485000</v>
      </c>
      <c r="F70" s="23">
        <f>IF(C70=0,0,E70/C70)</f>
        <v>0.65033398610403192</v>
      </c>
    </row>
    <row r="71" spans="1:6" ht="24" customHeight="1" x14ac:dyDescent="0.2">
      <c r="A71" s="20">
        <v>2</v>
      </c>
      <c r="B71" s="21" t="s">
        <v>65</v>
      </c>
      <c r="C71" s="22">
        <v>28832000</v>
      </c>
      <c r="D71" s="22">
        <v>32033000</v>
      </c>
      <c r="E71" s="22">
        <f>D71-C71</f>
        <v>3201000</v>
      </c>
      <c r="F71" s="23">
        <f>IF(C71=0,0,E71/C71)</f>
        <v>0.11102247502774695</v>
      </c>
    </row>
    <row r="72" spans="1:6" ht="24" customHeight="1" x14ac:dyDescent="0.2">
      <c r="A72" s="20">
        <v>3</v>
      </c>
      <c r="B72" s="21" t="s">
        <v>66</v>
      </c>
      <c r="C72" s="22">
        <v>19872000</v>
      </c>
      <c r="D72" s="22">
        <v>20788000</v>
      </c>
      <c r="E72" s="22">
        <f>D72-C72</f>
        <v>916000</v>
      </c>
      <c r="F72" s="23">
        <f>IF(C72=0,0,E72/C72)</f>
        <v>4.6095008051529787E-2</v>
      </c>
    </row>
    <row r="73" spans="1:6" ht="24" customHeight="1" x14ac:dyDescent="0.25">
      <c r="A73" s="20"/>
      <c r="B73" s="25" t="s">
        <v>67</v>
      </c>
      <c r="C73" s="26">
        <f>SUM(C70:C72)</f>
        <v>123258000</v>
      </c>
      <c r="D73" s="26">
        <f>SUM(D70:D72)</f>
        <v>175860000</v>
      </c>
      <c r="E73" s="26">
        <f>D73-C73</f>
        <v>52602000</v>
      </c>
      <c r="F73" s="27">
        <f>IF(C73=0,0,E73/C73)</f>
        <v>0.42676337438543543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389784000</v>
      </c>
      <c r="D75" s="26">
        <f>D56+D65+D67+D73</f>
        <v>440309000</v>
      </c>
      <c r="E75" s="26">
        <f>D75-C75</f>
        <v>50525000</v>
      </c>
      <c r="F75" s="27">
        <f>IF(C75=0,0,E75/C75)</f>
        <v>0.12962307329187447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409615000</v>
      </c>
      <c r="D11" s="76">
        <v>420616000</v>
      </c>
      <c r="E11" s="76">
        <v>418827000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10881000</v>
      </c>
      <c r="D12" s="185">
        <v>19050000</v>
      </c>
      <c r="E12" s="185">
        <v>26208000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420496000</v>
      </c>
      <c r="D13" s="76">
        <f>+D11+D12</f>
        <v>439666000</v>
      </c>
      <c r="E13" s="76">
        <f>+E11+E12</f>
        <v>445035000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393525000</v>
      </c>
      <c r="D14" s="185">
        <v>420298000</v>
      </c>
      <c r="E14" s="185">
        <v>425775000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26971000</v>
      </c>
      <c r="D15" s="76">
        <f>+D13-D14</f>
        <v>19368000</v>
      </c>
      <c r="E15" s="76">
        <f>+E13-E14</f>
        <v>19260000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-38000</v>
      </c>
      <c r="D16" s="185">
        <v>2164000</v>
      </c>
      <c r="E16" s="185">
        <v>3969000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26933000</v>
      </c>
      <c r="D17" s="76">
        <f>D15+D16</f>
        <v>21532000</v>
      </c>
      <c r="E17" s="76">
        <f>E15+E16</f>
        <v>23229000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6.414671619995338E-2</v>
      </c>
      <c r="D20" s="189">
        <f>IF(+D27=0,0,+D24/+D27)</f>
        <v>4.383586447276102E-2</v>
      </c>
      <c r="E20" s="189">
        <f>IF(+E27=0,0,+E24/+E27)</f>
        <v>4.2894940802309107E-2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-9.0377635816181408E-5</v>
      </c>
      <c r="D21" s="189">
        <f>IF(+D27=0,0,+D26/+D27)</f>
        <v>4.8978113754158843E-3</v>
      </c>
      <c r="E21" s="189">
        <f>IF(+E27=0,0,+E26/+E27)</f>
        <v>8.8395649036534189E-3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6.40563385641372E-2</v>
      </c>
      <c r="D22" s="189">
        <f>IF(+D27=0,0,+D28/+D27)</f>
        <v>4.8733675848176901E-2</v>
      </c>
      <c r="E22" s="189">
        <f>IF(+E27=0,0,+E28/+E27)</f>
        <v>5.1734505705962532E-2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26971000</v>
      </c>
      <c r="D24" s="76">
        <f>+D15</f>
        <v>19368000</v>
      </c>
      <c r="E24" s="76">
        <f>+E15</f>
        <v>19260000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420496000</v>
      </c>
      <c r="D25" s="76">
        <f>+D13</f>
        <v>439666000</v>
      </c>
      <c r="E25" s="76">
        <f>+E13</f>
        <v>445035000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-38000</v>
      </c>
      <c r="D26" s="76">
        <f>+D16</f>
        <v>2164000</v>
      </c>
      <c r="E26" s="76">
        <f>+E16</f>
        <v>3969000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420458000</v>
      </c>
      <c r="D27" s="76">
        <f>SUM(D25:D26)</f>
        <v>441830000</v>
      </c>
      <c r="E27" s="76">
        <f>SUM(E25:E26)</f>
        <v>449004000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26933000</v>
      </c>
      <c r="D28" s="76">
        <f>+D17</f>
        <v>21532000</v>
      </c>
      <c r="E28" s="76">
        <f>+E17</f>
        <v>23229000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72064000</v>
      </c>
      <c r="D31" s="76">
        <v>72028000</v>
      </c>
      <c r="E31" s="76">
        <v>120290000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116142000</v>
      </c>
      <c r="D32" s="76">
        <v>120732000</v>
      </c>
      <c r="E32" s="76">
        <v>173111000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15550000</v>
      </c>
      <c r="D33" s="76">
        <f>+D32-C32</f>
        <v>4590000</v>
      </c>
      <c r="E33" s="76">
        <f>+E32-D32</f>
        <v>52379000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1.1545000000000001</v>
      </c>
      <c r="D34" s="193">
        <f>IF(C32=0,0,+D33/C32)</f>
        <v>3.9520586867799759E-2</v>
      </c>
      <c r="E34" s="193">
        <f>IF(D32=0,0,+E33/D32)</f>
        <v>0.43384521088029687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2.240231666530712</v>
      </c>
      <c r="D38" s="338">
        <f>IF(+D40=0,0,+D39/+D40)</f>
        <v>1.994556198139301</v>
      </c>
      <c r="E38" s="338">
        <f>IF(+E40=0,0,+E39/+E40)</f>
        <v>1.5554526593234375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137315000</v>
      </c>
      <c r="D39" s="341">
        <v>158647000</v>
      </c>
      <c r="E39" s="341">
        <v>174682000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61295000</v>
      </c>
      <c r="D40" s="341">
        <v>79540000</v>
      </c>
      <c r="E40" s="341">
        <v>112303000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78.858768585182972</v>
      </c>
      <c r="D42" s="343">
        <f>IF((D48/365)=0,0,+D45/(D48/365))</f>
        <v>78.153874995313259</v>
      </c>
      <c r="E42" s="343">
        <f>IF((E48/365)=0,0,+E45/(E48/365))</f>
        <v>86.008272175162631</v>
      </c>
    </row>
    <row r="43" spans="1:14" ht="24" customHeight="1" x14ac:dyDescent="0.2">
      <c r="A43" s="339">
        <v>5</v>
      </c>
      <c r="B43" s="344" t="s">
        <v>16</v>
      </c>
      <c r="C43" s="345">
        <v>37449000</v>
      </c>
      <c r="D43" s="345">
        <v>16072000</v>
      </c>
      <c r="E43" s="345">
        <v>30636000</v>
      </c>
    </row>
    <row r="44" spans="1:14" ht="24" customHeight="1" x14ac:dyDescent="0.2">
      <c r="A44" s="339">
        <v>6</v>
      </c>
      <c r="B44" s="346" t="s">
        <v>17</v>
      </c>
      <c r="C44" s="345">
        <v>43693000</v>
      </c>
      <c r="D44" s="345">
        <v>69590000</v>
      </c>
      <c r="E44" s="345">
        <v>64307000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81142000</v>
      </c>
      <c r="D45" s="341">
        <f>+D43+D44</f>
        <v>85662000</v>
      </c>
      <c r="E45" s="341">
        <f>+E43+E44</f>
        <v>94943000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393525000</v>
      </c>
      <c r="D46" s="341">
        <f>+D14</f>
        <v>420298000</v>
      </c>
      <c r="E46" s="341">
        <f>+E14</f>
        <v>425775000</v>
      </c>
    </row>
    <row r="47" spans="1:14" ht="24" customHeight="1" x14ac:dyDescent="0.2">
      <c r="A47" s="339">
        <v>9</v>
      </c>
      <c r="B47" s="340" t="s">
        <v>356</v>
      </c>
      <c r="C47" s="341">
        <v>17957000</v>
      </c>
      <c r="D47" s="341">
        <v>20233000</v>
      </c>
      <c r="E47" s="341">
        <v>22858000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375568000</v>
      </c>
      <c r="D48" s="341">
        <f>+D46-D47</f>
        <v>400065000</v>
      </c>
      <c r="E48" s="341">
        <f>+E46-E47</f>
        <v>402917000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35.852629908572688</v>
      </c>
      <c r="D50" s="350">
        <f>IF((D55/365)=0,0,+D54/(D55/365))</f>
        <v>37.299567776784528</v>
      </c>
      <c r="E50" s="350">
        <f>IF((E55/365)=0,0,+E54/(E55/365))</f>
        <v>44.822038693780492</v>
      </c>
    </row>
    <row r="51" spans="1:5" ht="24" customHeight="1" x14ac:dyDescent="0.2">
      <c r="A51" s="339">
        <v>12</v>
      </c>
      <c r="B51" s="344" t="s">
        <v>359</v>
      </c>
      <c r="C51" s="351">
        <v>41819000</v>
      </c>
      <c r="D51" s="351">
        <v>42983000</v>
      </c>
      <c r="E51" s="351">
        <v>51432000</v>
      </c>
    </row>
    <row r="52" spans="1:5" ht="24" customHeight="1" x14ac:dyDescent="0.2">
      <c r="A52" s="339">
        <v>13</v>
      </c>
      <c r="B52" s="344" t="s">
        <v>21</v>
      </c>
      <c r="C52" s="341">
        <v>2403000</v>
      </c>
      <c r="D52" s="341">
        <v>11424000</v>
      </c>
      <c r="E52" s="341">
        <v>10552000</v>
      </c>
    </row>
    <row r="53" spans="1:5" ht="24" customHeight="1" x14ac:dyDescent="0.2">
      <c r="A53" s="339">
        <v>14</v>
      </c>
      <c r="B53" s="344" t="s">
        <v>49</v>
      </c>
      <c r="C53" s="341">
        <v>3987000</v>
      </c>
      <c r="D53" s="341">
        <v>11424000</v>
      </c>
      <c r="E53" s="341">
        <v>10552000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40235000</v>
      </c>
      <c r="D54" s="352">
        <f>+D51+D52-D53</f>
        <v>42983000</v>
      </c>
      <c r="E54" s="352">
        <f>+E51+E52-E53</f>
        <v>51432000</v>
      </c>
    </row>
    <row r="55" spans="1:5" ht="24" customHeight="1" x14ac:dyDescent="0.2">
      <c r="A55" s="339">
        <v>16</v>
      </c>
      <c r="B55" s="340" t="s">
        <v>75</v>
      </c>
      <c r="C55" s="341">
        <f>+C11</f>
        <v>409615000</v>
      </c>
      <c r="D55" s="341">
        <f>+D11</f>
        <v>420616000</v>
      </c>
      <c r="E55" s="341">
        <f>+E11</f>
        <v>418827000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59.570237613428198</v>
      </c>
      <c r="D57" s="355">
        <f>IF((D61/365)=0,0,+D58/(D61/365))</f>
        <v>72.56845762563583</v>
      </c>
      <c r="E57" s="355">
        <f>IF((E61/365)=0,0,+E58/(E61/365))</f>
        <v>101.73458801688686</v>
      </c>
    </row>
    <row r="58" spans="1:5" ht="24" customHeight="1" x14ac:dyDescent="0.2">
      <c r="A58" s="339">
        <v>18</v>
      </c>
      <c r="B58" s="340" t="s">
        <v>54</v>
      </c>
      <c r="C58" s="353">
        <f>+C40</f>
        <v>61295000</v>
      </c>
      <c r="D58" s="353">
        <f>+D40</f>
        <v>79540000</v>
      </c>
      <c r="E58" s="353">
        <f>+E40</f>
        <v>112303000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393525000</v>
      </c>
      <c r="D59" s="353">
        <f t="shared" si="0"/>
        <v>420298000</v>
      </c>
      <c r="E59" s="353">
        <f t="shared" si="0"/>
        <v>425775000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17957000</v>
      </c>
      <c r="D60" s="356">
        <f t="shared" si="0"/>
        <v>20233000</v>
      </c>
      <c r="E60" s="356">
        <f t="shared" si="0"/>
        <v>22858000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375568000</v>
      </c>
      <c r="D61" s="353">
        <f>+D59-D60</f>
        <v>400065000</v>
      </c>
      <c r="E61" s="353">
        <f>+E59-E60</f>
        <v>402917000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35.063111910807066</v>
      </c>
      <c r="D65" s="357">
        <f>IF(D67=0,0,(D66/D67)*100)</f>
        <v>30.74909076090832</v>
      </c>
      <c r="E65" s="357">
        <f>IF(E67=0,0,(E66/E67)*100)</f>
        <v>39.088092775823377</v>
      </c>
    </row>
    <row r="66" spans="1:5" ht="24" customHeight="1" x14ac:dyDescent="0.2">
      <c r="A66" s="339">
        <v>2</v>
      </c>
      <c r="B66" s="340" t="s">
        <v>67</v>
      </c>
      <c r="C66" s="353">
        <f>+C32</f>
        <v>116142000</v>
      </c>
      <c r="D66" s="353">
        <f>+D32</f>
        <v>120732000</v>
      </c>
      <c r="E66" s="353">
        <f>+E32</f>
        <v>173111000</v>
      </c>
    </row>
    <row r="67" spans="1:5" ht="24" customHeight="1" x14ac:dyDescent="0.2">
      <c r="A67" s="339">
        <v>3</v>
      </c>
      <c r="B67" s="340" t="s">
        <v>43</v>
      </c>
      <c r="C67" s="353">
        <v>331237000</v>
      </c>
      <c r="D67" s="353">
        <v>392636000</v>
      </c>
      <c r="E67" s="353">
        <v>442874000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40.422504772538993</v>
      </c>
      <c r="D69" s="357">
        <f>IF(D75=0,0,(D72/D75)*100)</f>
        <v>32.892042590725808</v>
      </c>
      <c r="E69" s="357">
        <f>IF(E75=0,0,(E72/E75)*100)</f>
        <v>28.535958639051422</v>
      </c>
    </row>
    <row r="70" spans="1:5" ht="24" customHeight="1" x14ac:dyDescent="0.2">
      <c r="A70" s="339">
        <v>5</v>
      </c>
      <c r="B70" s="340" t="s">
        <v>366</v>
      </c>
      <c r="C70" s="353">
        <f>+C28</f>
        <v>26933000</v>
      </c>
      <c r="D70" s="353">
        <f>+D28</f>
        <v>21532000</v>
      </c>
      <c r="E70" s="353">
        <f>+E28</f>
        <v>23229000</v>
      </c>
    </row>
    <row r="71" spans="1:5" ht="24" customHeight="1" x14ac:dyDescent="0.2">
      <c r="A71" s="339">
        <v>6</v>
      </c>
      <c r="B71" s="340" t="s">
        <v>356</v>
      </c>
      <c r="C71" s="356">
        <f>+C47</f>
        <v>17957000</v>
      </c>
      <c r="D71" s="356">
        <f>+D47</f>
        <v>20233000</v>
      </c>
      <c r="E71" s="356">
        <f>+E47</f>
        <v>22858000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44890000</v>
      </c>
      <c r="D72" s="353">
        <f>+D70+D71</f>
        <v>41765000</v>
      </c>
      <c r="E72" s="353">
        <f>+E70+E71</f>
        <v>46087000</v>
      </c>
    </row>
    <row r="73" spans="1:5" ht="24" customHeight="1" x14ac:dyDescent="0.2">
      <c r="A73" s="339">
        <v>8</v>
      </c>
      <c r="B73" s="340" t="s">
        <v>54</v>
      </c>
      <c r="C73" s="341">
        <f>+C40</f>
        <v>61295000</v>
      </c>
      <c r="D73" s="341">
        <f>+D40</f>
        <v>79540000</v>
      </c>
      <c r="E73" s="341">
        <f>+E40</f>
        <v>112303000</v>
      </c>
    </row>
    <row r="74" spans="1:5" ht="24" customHeight="1" x14ac:dyDescent="0.2">
      <c r="A74" s="339">
        <v>9</v>
      </c>
      <c r="B74" s="340" t="s">
        <v>58</v>
      </c>
      <c r="C74" s="353">
        <v>49757000</v>
      </c>
      <c r="D74" s="353">
        <v>47436000</v>
      </c>
      <c r="E74" s="353">
        <v>49202000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111052000</v>
      </c>
      <c r="D75" s="341">
        <f>+D73+D74</f>
        <v>126976000</v>
      </c>
      <c r="E75" s="341">
        <f>+E73+E74</f>
        <v>161505000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29.99234473987185</v>
      </c>
      <c r="D77" s="359">
        <f>IF(D80=0,0,(D78/D80)*100)</f>
        <v>28.207506778935347</v>
      </c>
      <c r="E77" s="359">
        <f>IF(E80=0,0,(E78/E80)*100)</f>
        <v>22.131859135543131</v>
      </c>
    </row>
    <row r="78" spans="1:5" ht="24" customHeight="1" x14ac:dyDescent="0.2">
      <c r="A78" s="339">
        <v>12</v>
      </c>
      <c r="B78" s="340" t="s">
        <v>58</v>
      </c>
      <c r="C78" s="341">
        <f>+C74</f>
        <v>49757000</v>
      </c>
      <c r="D78" s="341">
        <f>+D74</f>
        <v>47436000</v>
      </c>
      <c r="E78" s="341">
        <f>+E74</f>
        <v>49202000</v>
      </c>
    </row>
    <row r="79" spans="1:5" ht="24" customHeight="1" x14ac:dyDescent="0.2">
      <c r="A79" s="339">
        <v>13</v>
      </c>
      <c r="B79" s="340" t="s">
        <v>67</v>
      </c>
      <c r="C79" s="341">
        <f>+C32</f>
        <v>116142000</v>
      </c>
      <c r="D79" s="341">
        <f>+D32</f>
        <v>120732000</v>
      </c>
      <c r="E79" s="341">
        <f>+E32</f>
        <v>173111000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165899000</v>
      </c>
      <c r="D80" s="341">
        <f>+D78+D79</f>
        <v>168168000</v>
      </c>
      <c r="E80" s="341">
        <f>+E78+E79</f>
        <v>222313000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67547</v>
      </c>
      <c r="D11" s="376">
        <v>12437</v>
      </c>
      <c r="E11" s="376">
        <v>12562</v>
      </c>
      <c r="F11" s="377">
        <v>186</v>
      </c>
      <c r="G11" s="377">
        <v>227</v>
      </c>
      <c r="H11" s="378">
        <f>IF(F11=0,0,$C11/(F11*365))</f>
        <v>0.99494770953012224</v>
      </c>
      <c r="I11" s="378">
        <f>IF(G11=0,0,$C11/(G11*365))</f>
        <v>0.81524349767666404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6153</v>
      </c>
      <c r="D13" s="376">
        <v>309</v>
      </c>
      <c r="E13" s="376">
        <v>0</v>
      </c>
      <c r="F13" s="377">
        <v>17</v>
      </c>
      <c r="G13" s="377">
        <v>32</v>
      </c>
      <c r="H13" s="378">
        <f>IF(F13=0,0,$C13/(F13*365))</f>
        <v>0.99161966156325543</v>
      </c>
      <c r="I13" s="378">
        <f>IF(G13=0,0,$C13/(G13*365))</f>
        <v>0.5267979452054794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5403</v>
      </c>
      <c r="D16" s="376">
        <v>672</v>
      </c>
      <c r="E16" s="376">
        <v>584</v>
      </c>
      <c r="F16" s="377">
        <v>15</v>
      </c>
      <c r="G16" s="377">
        <v>19</v>
      </c>
      <c r="H16" s="378">
        <f t="shared" si="0"/>
        <v>0.98684931506849316</v>
      </c>
      <c r="I16" s="378">
        <f t="shared" si="0"/>
        <v>0.77909156452775774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5403</v>
      </c>
      <c r="D17" s="381">
        <f>SUM(D15:D16)</f>
        <v>672</v>
      </c>
      <c r="E17" s="381">
        <f>SUM(E15:E16)</f>
        <v>584</v>
      </c>
      <c r="F17" s="381">
        <f>SUM(F15:F16)</f>
        <v>15</v>
      </c>
      <c r="G17" s="381">
        <f>SUM(G15:G16)</f>
        <v>19</v>
      </c>
      <c r="H17" s="382">
        <f t="shared" si="0"/>
        <v>0.98684931506849316</v>
      </c>
      <c r="I17" s="382">
        <f t="shared" si="0"/>
        <v>0.77909156452775774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5484</v>
      </c>
      <c r="D19" s="376">
        <v>384</v>
      </c>
      <c r="E19" s="376">
        <v>388</v>
      </c>
      <c r="F19" s="377">
        <v>16</v>
      </c>
      <c r="G19" s="377">
        <v>18</v>
      </c>
      <c r="H19" s="378">
        <f>IF(F19=0,0,$C19/(F19*365))</f>
        <v>0.93904109589041096</v>
      </c>
      <c r="I19" s="378">
        <f>IF(G19=0,0,$C19/(G19*365))</f>
        <v>0.83470319634703194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8096</v>
      </c>
      <c r="D21" s="376">
        <v>2932</v>
      </c>
      <c r="E21" s="376">
        <v>2523</v>
      </c>
      <c r="F21" s="377">
        <v>23</v>
      </c>
      <c r="G21" s="377">
        <v>23</v>
      </c>
      <c r="H21" s="378">
        <f>IF(F21=0,0,$C21/(F21*365))</f>
        <v>0.96438356164383565</v>
      </c>
      <c r="I21" s="378">
        <f>IF(G21=0,0,$C21/(G21*365))</f>
        <v>0.96438356164383565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4757</v>
      </c>
      <c r="D23" s="376">
        <v>2028</v>
      </c>
      <c r="E23" s="376">
        <v>2054</v>
      </c>
      <c r="F23" s="377">
        <v>14</v>
      </c>
      <c r="G23" s="377">
        <v>14</v>
      </c>
      <c r="H23" s="378">
        <f>IF(F23=0,0,$C23/(F23*365))</f>
        <v>0.93091976516634056</v>
      </c>
      <c r="I23" s="378">
        <f>IF(G23=0,0,$C23/(G23*365))</f>
        <v>0.93091976516634056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92683</v>
      </c>
      <c r="D31" s="384">
        <f>SUM(D10:D29)-D13-D17-D23</f>
        <v>16425</v>
      </c>
      <c r="E31" s="384">
        <f>SUM(E10:E29)-E17-E23</f>
        <v>16057</v>
      </c>
      <c r="F31" s="384">
        <f>SUM(F10:F29)-F17-F23</f>
        <v>257</v>
      </c>
      <c r="G31" s="384">
        <f>SUM(G10:G29)-G17-G23</f>
        <v>319</v>
      </c>
      <c r="H31" s="385">
        <f>IF(F31=0,0,$C31/(F31*365))</f>
        <v>0.98803901710996211</v>
      </c>
      <c r="I31" s="385">
        <f>IF(G31=0,0,$C31/(G31*365))</f>
        <v>0.79600635547730492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97440</v>
      </c>
      <c r="D33" s="384">
        <f>SUM(D10:D29)-D13-D17</f>
        <v>18453</v>
      </c>
      <c r="E33" s="384">
        <f>SUM(E10:E29)-E17</f>
        <v>18111</v>
      </c>
      <c r="F33" s="384">
        <f>SUM(F10:F29)-F17</f>
        <v>271</v>
      </c>
      <c r="G33" s="384">
        <f>SUM(G10:G29)-G17</f>
        <v>333</v>
      </c>
      <c r="H33" s="385">
        <f>IF(F33=0,0,$C33/(F33*365))</f>
        <v>0.98508820704645406</v>
      </c>
      <c r="I33" s="385">
        <f>IF(G33=0,0,$C33/(G33*365))</f>
        <v>0.80167839071948666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97440</v>
      </c>
      <c r="D36" s="384">
        <f t="shared" si="1"/>
        <v>18453</v>
      </c>
      <c r="E36" s="384">
        <f t="shared" si="1"/>
        <v>18111</v>
      </c>
      <c r="F36" s="384">
        <f t="shared" si="1"/>
        <v>271</v>
      </c>
      <c r="G36" s="384">
        <f t="shared" si="1"/>
        <v>333</v>
      </c>
      <c r="H36" s="387">
        <f t="shared" si="1"/>
        <v>0.98508820704645406</v>
      </c>
      <c r="I36" s="387">
        <f t="shared" si="1"/>
        <v>0.80167839071948666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100830</v>
      </c>
      <c r="D37" s="384">
        <v>18936</v>
      </c>
      <c r="E37" s="384">
        <v>19090</v>
      </c>
      <c r="F37" s="386">
        <v>281</v>
      </c>
      <c r="G37" s="386">
        <v>371</v>
      </c>
      <c r="H37" s="385">
        <f>IF(F37=0,0,$C37/(F37*365))</f>
        <v>0.98308389801589235</v>
      </c>
      <c r="I37" s="385">
        <f>IF(G37=0,0,$C37/(G37*365))</f>
        <v>0.74459993353764353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-3390</v>
      </c>
      <c r="D38" s="384">
        <f t="shared" si="2"/>
        <v>-483</v>
      </c>
      <c r="E38" s="384">
        <f t="shared" si="2"/>
        <v>-979</v>
      </c>
      <c r="F38" s="384">
        <f t="shared" si="2"/>
        <v>-10</v>
      </c>
      <c r="G38" s="384">
        <f t="shared" si="2"/>
        <v>-38</v>
      </c>
      <c r="H38" s="387">
        <f t="shared" si="2"/>
        <v>2.0043090305617017E-3</v>
      </c>
      <c r="I38" s="387">
        <f t="shared" si="2"/>
        <v>5.7078457181843123E-2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-3.3620946146980066E-2</v>
      </c>
      <c r="D40" s="389">
        <f t="shared" si="3"/>
        <v>-2.5506970849176171E-2</v>
      </c>
      <c r="E40" s="389">
        <f t="shared" si="3"/>
        <v>-5.1283394447354635E-2</v>
      </c>
      <c r="F40" s="389">
        <f t="shared" si="3"/>
        <v>-3.5587188612099648E-2</v>
      </c>
      <c r="G40" s="389">
        <f t="shared" si="3"/>
        <v>-0.10242587601078167</v>
      </c>
      <c r="H40" s="389">
        <f t="shared" si="3"/>
        <v>2.0387975376332532E-3</v>
      </c>
      <c r="I40" s="389">
        <f t="shared" si="3"/>
        <v>7.6656543481893158E-2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383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10078</v>
      </c>
      <c r="D12" s="409">
        <v>4307</v>
      </c>
      <c r="E12" s="409">
        <f>+D12-C12</f>
        <v>-5771</v>
      </c>
      <c r="F12" s="410">
        <f>IF(C12=0,0,+E12/C12)</f>
        <v>-0.5726334590196468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2046</v>
      </c>
      <c r="D13" s="409">
        <v>1654</v>
      </c>
      <c r="E13" s="409">
        <f>+D13-C13</f>
        <v>-392</v>
      </c>
      <c r="F13" s="410">
        <f>IF(C13=0,0,+E13/C13)</f>
        <v>-0.19159335288367546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8777</v>
      </c>
      <c r="D14" s="409">
        <v>13076</v>
      </c>
      <c r="E14" s="409">
        <f>+D14-C14</f>
        <v>4299</v>
      </c>
      <c r="F14" s="410">
        <f>IF(C14=0,0,+E14/C14)</f>
        <v>0.48980289392731002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20901</v>
      </c>
      <c r="D16" s="401">
        <f>SUM(D12:D15)</f>
        <v>19037</v>
      </c>
      <c r="E16" s="401">
        <f>+D16-C16</f>
        <v>-1864</v>
      </c>
      <c r="F16" s="402">
        <f>IF(C16=0,0,+E16/C16)</f>
        <v>-8.9182335773407964E-2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1110</v>
      </c>
      <c r="D19" s="409">
        <v>1282</v>
      </c>
      <c r="E19" s="409">
        <f>+D19-C19</f>
        <v>172</v>
      </c>
      <c r="F19" s="410">
        <f>IF(C19=0,0,+E19/C19)</f>
        <v>0.15495495495495495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290</v>
      </c>
      <c r="D20" s="409">
        <v>1884</v>
      </c>
      <c r="E20" s="409">
        <f>+D20-C20</f>
        <v>1594</v>
      </c>
      <c r="F20" s="410">
        <f>IF(C20=0,0,+E20/C20)</f>
        <v>5.4965517241379311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282</v>
      </c>
      <c r="D21" s="409">
        <v>513</v>
      </c>
      <c r="E21" s="409">
        <f>+D21-C21</f>
        <v>231</v>
      </c>
      <c r="F21" s="410">
        <f>IF(C21=0,0,+E21/C21)</f>
        <v>0.81914893617021278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1682</v>
      </c>
      <c r="D23" s="401">
        <f>SUM(D19:D22)</f>
        <v>3679</v>
      </c>
      <c r="E23" s="401">
        <f>+D23-C23</f>
        <v>1997</v>
      </c>
      <c r="F23" s="402">
        <f>IF(C23=0,0,+E23/C23)</f>
        <v>1.1872770511296076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1</v>
      </c>
      <c r="D33" s="409">
        <v>0</v>
      </c>
      <c r="E33" s="409">
        <f>+D33-C33</f>
        <v>-1</v>
      </c>
      <c r="F33" s="410">
        <f>IF(C33=0,0,+E33/C33)</f>
        <v>-1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255</v>
      </c>
      <c r="D34" s="409">
        <v>264</v>
      </c>
      <c r="E34" s="409">
        <f>+D34-C34</f>
        <v>9</v>
      </c>
      <c r="F34" s="410">
        <f>IF(C34=0,0,+E34/C34)</f>
        <v>3.5294117647058823E-2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256</v>
      </c>
      <c r="D37" s="401">
        <f>SUM(D33:D36)</f>
        <v>264</v>
      </c>
      <c r="E37" s="401">
        <f>+D37-C37</f>
        <v>8</v>
      </c>
      <c r="F37" s="402">
        <f>IF(C37=0,0,+E37/C37)</f>
        <v>3.125E-2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244</v>
      </c>
      <c r="D43" s="409">
        <v>174</v>
      </c>
      <c r="E43" s="409">
        <f>+D43-C43</f>
        <v>-70</v>
      </c>
      <c r="F43" s="410">
        <f>IF(C43=0,0,+E43/C43)</f>
        <v>-0.28688524590163933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7811</v>
      </c>
      <c r="D44" s="409">
        <v>9150</v>
      </c>
      <c r="E44" s="409">
        <f>+D44-C44</f>
        <v>1339</v>
      </c>
      <c r="F44" s="410">
        <f>IF(C44=0,0,+E44/C44)</f>
        <v>0.171424913583408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8055</v>
      </c>
      <c r="D45" s="401">
        <f>SUM(D43:D44)</f>
        <v>9324</v>
      </c>
      <c r="E45" s="401">
        <f>+D45-C45</f>
        <v>1269</v>
      </c>
      <c r="F45" s="402">
        <f>IF(C45=0,0,+E45/C45)</f>
        <v>0.15754189944134078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412</v>
      </c>
      <c r="D48" s="409">
        <v>398</v>
      </c>
      <c r="E48" s="409">
        <f>+D48-C48</f>
        <v>-14</v>
      </c>
      <c r="F48" s="410">
        <f>IF(C48=0,0,+E48/C48)</f>
        <v>-3.3980582524271843E-2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327</v>
      </c>
      <c r="D49" s="409">
        <v>397</v>
      </c>
      <c r="E49" s="409">
        <f>+D49-C49</f>
        <v>70</v>
      </c>
      <c r="F49" s="410">
        <f>IF(C49=0,0,+E49/C49)</f>
        <v>0.21406727828746178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739</v>
      </c>
      <c r="D50" s="401">
        <f>SUM(D48:D49)</f>
        <v>795</v>
      </c>
      <c r="E50" s="401">
        <f>+D50-C50</f>
        <v>56</v>
      </c>
      <c r="F50" s="402">
        <f>IF(C50=0,0,+E50/C50)</f>
        <v>7.5778078484438433E-2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176</v>
      </c>
      <c r="D53" s="409">
        <v>174</v>
      </c>
      <c r="E53" s="409">
        <f>+D53-C53</f>
        <v>-2</v>
      </c>
      <c r="F53" s="410">
        <f>IF(C53=0,0,+E53/C53)</f>
        <v>-1.1363636363636364E-2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206</v>
      </c>
      <c r="D54" s="409">
        <v>215</v>
      </c>
      <c r="E54" s="409">
        <f>+D54-C54</f>
        <v>9</v>
      </c>
      <c r="F54" s="410">
        <f>IF(C54=0,0,+E54/C54)</f>
        <v>4.3689320388349516E-2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382</v>
      </c>
      <c r="D55" s="401">
        <f>SUM(D53:D54)</f>
        <v>389</v>
      </c>
      <c r="E55" s="401">
        <f>+D55-C55</f>
        <v>7</v>
      </c>
      <c r="F55" s="402">
        <f>IF(C55=0,0,+E55/C55)</f>
        <v>1.832460732984293E-2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126</v>
      </c>
      <c r="D58" s="409">
        <v>130</v>
      </c>
      <c r="E58" s="409">
        <f>+D58-C58</f>
        <v>4</v>
      </c>
      <c r="F58" s="410">
        <f>IF(C58=0,0,+E58/C58)</f>
        <v>3.1746031746031744E-2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303</v>
      </c>
      <c r="D59" s="409">
        <v>383</v>
      </c>
      <c r="E59" s="409">
        <f>+D59-C59</f>
        <v>80</v>
      </c>
      <c r="F59" s="410">
        <f>IF(C59=0,0,+E59/C59)</f>
        <v>0.264026402640264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429</v>
      </c>
      <c r="D60" s="401">
        <f>SUM(D58:D59)</f>
        <v>513</v>
      </c>
      <c r="E60" s="401">
        <f>SUM(E58:E59)</f>
        <v>84</v>
      </c>
      <c r="F60" s="402">
        <f>IF(C60=0,0,+E60/C60)</f>
        <v>0.19580419580419581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4144</v>
      </c>
      <c r="D63" s="409">
        <v>3947</v>
      </c>
      <c r="E63" s="409">
        <f>+D63-C63</f>
        <v>-197</v>
      </c>
      <c r="F63" s="410">
        <f>IF(C63=0,0,+E63/C63)</f>
        <v>-4.7538610038610041E-2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7749</v>
      </c>
      <c r="D64" s="409">
        <v>8087</v>
      </c>
      <c r="E64" s="409">
        <f>+D64-C64</f>
        <v>338</v>
      </c>
      <c r="F64" s="410">
        <f>IF(C64=0,0,+E64/C64)</f>
        <v>4.3618531423409469E-2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11893</v>
      </c>
      <c r="D65" s="401">
        <f>SUM(D63:D64)</f>
        <v>12034</v>
      </c>
      <c r="E65" s="401">
        <f>+D65-C65</f>
        <v>141</v>
      </c>
      <c r="F65" s="402">
        <f>IF(C65=0,0,+E65/C65)</f>
        <v>1.1855713444883545E-2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1239</v>
      </c>
      <c r="D68" s="409">
        <v>1159</v>
      </c>
      <c r="E68" s="409">
        <f>+D68-C68</f>
        <v>-80</v>
      </c>
      <c r="F68" s="410">
        <f>IF(C68=0,0,+E68/C68)</f>
        <v>-6.4568200161420494E-2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5651</v>
      </c>
      <c r="D69" s="409">
        <v>5400</v>
      </c>
      <c r="E69" s="409">
        <f>+D69-C69</f>
        <v>-251</v>
      </c>
      <c r="F69" s="412">
        <f>IF(C69=0,0,+E69/C69)</f>
        <v>-4.4416917359759334E-2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6890</v>
      </c>
      <c r="D70" s="401">
        <f>SUM(D68:D69)</f>
        <v>6559</v>
      </c>
      <c r="E70" s="401">
        <f>+D70-C70</f>
        <v>-331</v>
      </c>
      <c r="F70" s="402">
        <f>IF(C70=0,0,+E70/C70)</f>
        <v>-4.8040638606676345E-2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11267</v>
      </c>
      <c r="D73" s="376">
        <v>10835</v>
      </c>
      <c r="E73" s="409">
        <f>+D73-C73</f>
        <v>-432</v>
      </c>
      <c r="F73" s="410">
        <f>IF(C73=0,0,+E73/C73)</f>
        <v>-3.8342060885772612E-2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67791</v>
      </c>
      <c r="D74" s="376">
        <v>66060</v>
      </c>
      <c r="E74" s="409">
        <f>+D74-C74</f>
        <v>-1731</v>
      </c>
      <c r="F74" s="410">
        <f>IF(C74=0,0,+E74/C74)</f>
        <v>-2.5534362968535645E-2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79058</v>
      </c>
      <c r="D75" s="401">
        <f>SUM(D73:D74)</f>
        <v>76895</v>
      </c>
      <c r="E75" s="401">
        <f>SUM(E73:E74)</f>
        <v>-2163</v>
      </c>
      <c r="F75" s="402">
        <f>IF(C75=0,0,+E75/C75)</f>
        <v>-2.7359659996458296E-2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30503</v>
      </c>
      <c r="D82" s="376">
        <v>0</v>
      </c>
      <c r="E82" s="409">
        <f t="shared" si="0"/>
        <v>-30503</v>
      </c>
      <c r="F82" s="410">
        <f t="shared" si="1"/>
        <v>-1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17349</v>
      </c>
      <c r="E86" s="409">
        <f t="shared" si="0"/>
        <v>17349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2754</v>
      </c>
      <c r="D87" s="376">
        <v>0</v>
      </c>
      <c r="E87" s="409">
        <f t="shared" si="0"/>
        <v>-2754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7943</v>
      </c>
      <c r="E90" s="409">
        <f t="shared" si="0"/>
        <v>7943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4213</v>
      </c>
      <c r="E91" s="409">
        <f t="shared" si="0"/>
        <v>4213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33257</v>
      </c>
      <c r="D92" s="381">
        <f>SUM(D79:D91)</f>
        <v>29505</v>
      </c>
      <c r="E92" s="401">
        <f t="shared" si="0"/>
        <v>-3752</v>
      </c>
      <c r="F92" s="402">
        <f t="shared" si="1"/>
        <v>-0.11281835403073037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46307</v>
      </c>
      <c r="D95" s="414">
        <v>11557</v>
      </c>
      <c r="E95" s="415">
        <f t="shared" ref="E95:E100" si="2">+D95-C95</f>
        <v>-34750</v>
      </c>
      <c r="F95" s="412">
        <f t="shared" ref="F95:F100" si="3">IF(C95=0,0,+E95/C95)</f>
        <v>-0.75042650139287792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3210</v>
      </c>
      <c r="D96" s="414">
        <v>3676</v>
      </c>
      <c r="E96" s="409">
        <f t="shared" si="2"/>
        <v>466</v>
      </c>
      <c r="F96" s="410">
        <f t="shared" si="3"/>
        <v>0.14517133956386294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920</v>
      </c>
      <c r="D97" s="414">
        <v>1002</v>
      </c>
      <c r="E97" s="409">
        <f t="shared" si="2"/>
        <v>82</v>
      </c>
      <c r="F97" s="410">
        <f t="shared" si="3"/>
        <v>8.9130434782608695E-2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5651</v>
      </c>
      <c r="D98" s="414">
        <v>5400</v>
      </c>
      <c r="E98" s="409">
        <f t="shared" si="2"/>
        <v>-251</v>
      </c>
      <c r="F98" s="410">
        <f t="shared" si="3"/>
        <v>-4.4416917359759334E-2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116397</v>
      </c>
      <c r="D99" s="414">
        <v>120800</v>
      </c>
      <c r="E99" s="409">
        <f t="shared" si="2"/>
        <v>4403</v>
      </c>
      <c r="F99" s="410">
        <f t="shared" si="3"/>
        <v>3.7827435415002102E-2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172485</v>
      </c>
      <c r="D100" s="381">
        <f>SUM(D95:D99)</f>
        <v>142435</v>
      </c>
      <c r="E100" s="401">
        <f t="shared" si="2"/>
        <v>-30050</v>
      </c>
      <c r="F100" s="402">
        <f t="shared" si="3"/>
        <v>-0.17421804794619822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585.4</v>
      </c>
      <c r="D104" s="416">
        <v>606.5</v>
      </c>
      <c r="E104" s="417">
        <f>+D104-C104</f>
        <v>21.100000000000023</v>
      </c>
      <c r="F104" s="410">
        <f>IF(C104=0,0,+E104/C104)</f>
        <v>3.6043730782371067E-2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109.3</v>
      </c>
      <c r="D105" s="416">
        <v>107.2</v>
      </c>
      <c r="E105" s="417">
        <f>+D105-C105</f>
        <v>-2.0999999999999943</v>
      </c>
      <c r="F105" s="410">
        <f>IF(C105=0,0,+E105/C105)</f>
        <v>-1.9213174748398849E-2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1415.9</v>
      </c>
      <c r="D106" s="416">
        <v>1412.3</v>
      </c>
      <c r="E106" s="417">
        <f>+D106-C106</f>
        <v>-3.6000000000001364</v>
      </c>
      <c r="F106" s="410">
        <f>IF(C106=0,0,+E106/C106)</f>
        <v>-2.5425524401441742E-3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2110.6</v>
      </c>
      <c r="D107" s="418">
        <f>SUM(D104:D106)</f>
        <v>2126</v>
      </c>
      <c r="E107" s="418">
        <f>+D107-C107</f>
        <v>15.400000000000091</v>
      </c>
      <c r="F107" s="402">
        <f>IF(C107=0,0,+E107/C107)</f>
        <v>7.2965033639723733E-3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7749</v>
      </c>
      <c r="D12" s="409">
        <v>8087</v>
      </c>
      <c r="E12" s="409">
        <f>+D12-C12</f>
        <v>338</v>
      </c>
      <c r="F12" s="410">
        <f>IF(C12=0,0,+E12/C12)</f>
        <v>4.3618531423409469E-2</v>
      </c>
    </row>
    <row r="13" spans="1:6" ht="15.75" customHeight="1" x14ac:dyDescent="0.25">
      <c r="A13" s="374"/>
      <c r="B13" s="399" t="s">
        <v>622</v>
      </c>
      <c r="C13" s="401">
        <f>SUM(C11:C12)</f>
        <v>7749</v>
      </c>
      <c r="D13" s="401">
        <f>SUM(D11:D12)</f>
        <v>8087</v>
      </c>
      <c r="E13" s="401">
        <f>+D13-C13</f>
        <v>338</v>
      </c>
      <c r="F13" s="402">
        <f>IF(C13=0,0,+E13/C13)</f>
        <v>4.3618531423409469E-2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5651</v>
      </c>
      <c r="D16" s="409">
        <v>5400</v>
      </c>
      <c r="E16" s="409">
        <f>+D16-C16</f>
        <v>-251</v>
      </c>
      <c r="F16" s="410">
        <f>IF(C16=0,0,+E16/C16)</f>
        <v>-4.4416917359759334E-2</v>
      </c>
    </row>
    <row r="17" spans="1:6" ht="15.75" customHeight="1" x14ac:dyDescent="0.25">
      <c r="A17" s="374"/>
      <c r="B17" s="399" t="s">
        <v>623</v>
      </c>
      <c r="C17" s="401">
        <f>SUM(C15:C16)</f>
        <v>5651</v>
      </c>
      <c r="D17" s="401">
        <f>SUM(D15:D16)</f>
        <v>5400</v>
      </c>
      <c r="E17" s="401">
        <f>+D17-C17</f>
        <v>-251</v>
      </c>
      <c r="F17" s="402">
        <f>IF(C17=0,0,+E17/C17)</f>
        <v>-4.4416917359759334E-2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67791</v>
      </c>
      <c r="D20" s="409">
        <v>66060</v>
      </c>
      <c r="E20" s="409">
        <f>+D20-C20</f>
        <v>-1731</v>
      </c>
      <c r="F20" s="410">
        <f>IF(C20=0,0,+E20/C20)</f>
        <v>-2.5534362968535645E-2</v>
      </c>
    </row>
    <row r="21" spans="1:6" ht="15.75" customHeight="1" x14ac:dyDescent="0.25">
      <c r="A21" s="374"/>
      <c r="B21" s="399" t="s">
        <v>625</v>
      </c>
      <c r="C21" s="401">
        <f>SUM(C19:C20)</f>
        <v>67791</v>
      </c>
      <c r="D21" s="401">
        <f>SUM(D19:D20)</f>
        <v>66060</v>
      </c>
      <c r="E21" s="401">
        <f>+D21-C21</f>
        <v>-1731</v>
      </c>
      <c r="F21" s="402">
        <f>IF(C21=0,0,+E21/C21)</f>
        <v>-2.5534362968535645E-2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626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374698707</v>
      </c>
      <c r="D15" s="448">
        <v>378190000</v>
      </c>
      <c r="E15" s="448">
        <f t="shared" ref="E15:E24" si="0">D15-C15</f>
        <v>3491293</v>
      </c>
      <c r="F15" s="449">
        <f t="shared" ref="F15:F24" si="1">IF(C15=0,0,E15/C15)</f>
        <v>9.3176008744540444E-3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121076188</v>
      </c>
      <c r="D16" s="448">
        <v>125611818</v>
      </c>
      <c r="E16" s="448">
        <f t="shared" si="0"/>
        <v>4535630</v>
      </c>
      <c r="F16" s="449">
        <f t="shared" si="1"/>
        <v>3.746095805394864E-2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0.3231294523789216</v>
      </c>
      <c r="D17" s="453">
        <f>IF(LN_IA1=0,0,LN_IA2/LN_IA1)</f>
        <v>0.33213944842539467</v>
      </c>
      <c r="E17" s="454">
        <f t="shared" si="0"/>
        <v>9.0099960464730677E-3</v>
      </c>
      <c r="F17" s="449">
        <f t="shared" si="1"/>
        <v>2.788354939526648E-2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7260</v>
      </c>
      <c r="D18" s="456">
        <v>7117</v>
      </c>
      <c r="E18" s="456">
        <f t="shared" si="0"/>
        <v>-143</v>
      </c>
      <c r="F18" s="449">
        <f t="shared" si="1"/>
        <v>-1.9696969696969695E-2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1.5809899999999999</v>
      </c>
      <c r="D19" s="459">
        <v>1.5920700000000001</v>
      </c>
      <c r="E19" s="460">
        <f t="shared" si="0"/>
        <v>1.1080000000000201E-2</v>
      </c>
      <c r="F19" s="449">
        <f t="shared" si="1"/>
        <v>7.0082669719607341E-3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11477.9874</v>
      </c>
      <c r="D20" s="463">
        <f>LN_IA4*LN_IA5</f>
        <v>11330.762190000001</v>
      </c>
      <c r="E20" s="463">
        <f t="shared" si="0"/>
        <v>-147.2252099999987</v>
      </c>
      <c r="F20" s="449">
        <f t="shared" si="1"/>
        <v>-1.2826744347183958E-2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10548.555576912377</v>
      </c>
      <c r="D21" s="465">
        <f>IF(LN_IA6=0,0,LN_IA2/LN_IA6)</f>
        <v>11085.910717538411</v>
      </c>
      <c r="E21" s="465">
        <f t="shared" si="0"/>
        <v>537.35514062603397</v>
      </c>
      <c r="F21" s="449">
        <f t="shared" si="1"/>
        <v>5.0941111008804198E-2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50685</v>
      </c>
      <c r="D22" s="456">
        <v>49215</v>
      </c>
      <c r="E22" s="456">
        <f t="shared" si="0"/>
        <v>-1470</v>
      </c>
      <c r="F22" s="449">
        <f t="shared" si="1"/>
        <v>-2.9002663509914175E-2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2388.7972378415707</v>
      </c>
      <c r="D23" s="465">
        <f>IF(LN_IA8=0,0,LN_IA2/LN_IA8)</f>
        <v>2552.3075891496496</v>
      </c>
      <c r="E23" s="465">
        <f t="shared" si="0"/>
        <v>163.51035130807895</v>
      </c>
      <c r="F23" s="449">
        <f t="shared" si="1"/>
        <v>6.8448819647757508E-2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6.9814049586776861</v>
      </c>
      <c r="D24" s="466">
        <f>IF(LN_IA4=0,0,LN_IA8/LN_IA4)</f>
        <v>6.9151327806660108</v>
      </c>
      <c r="E24" s="466">
        <f t="shared" si="0"/>
        <v>-6.6272178011675287E-2</v>
      </c>
      <c r="F24" s="449">
        <f t="shared" si="1"/>
        <v>-9.4926706592633435E-3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163270365</v>
      </c>
      <c r="D27" s="448">
        <v>195430453</v>
      </c>
      <c r="E27" s="448">
        <f t="shared" ref="E27:E32" si="2">D27-C27</f>
        <v>32160088</v>
      </c>
      <c r="F27" s="449">
        <f t="shared" ref="F27:F32" si="3">IF(C27=0,0,E27/C27)</f>
        <v>0.19697443562400316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31077627</v>
      </c>
      <c r="D28" s="448">
        <v>34467369</v>
      </c>
      <c r="E28" s="448">
        <f t="shared" si="2"/>
        <v>3389742</v>
      </c>
      <c r="F28" s="449">
        <f t="shared" si="3"/>
        <v>0.10907338581546139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0.19034456742961284</v>
      </c>
      <c r="D29" s="453">
        <f>IF(LN_IA11=0,0,LN_IA12/LN_IA11)</f>
        <v>0.17636641818560386</v>
      </c>
      <c r="E29" s="454">
        <f t="shared" si="2"/>
        <v>-1.3978149244008975E-2</v>
      </c>
      <c r="F29" s="449">
        <f t="shared" si="3"/>
        <v>-7.3436029369096281E-2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0.43573773260978987</v>
      </c>
      <c r="D30" s="453">
        <f>IF(LN_IA1=0,0,LN_IA11/LN_IA1)</f>
        <v>0.51675203733573072</v>
      </c>
      <c r="E30" s="454">
        <f t="shared" si="2"/>
        <v>8.1014304725940844E-2</v>
      </c>
      <c r="F30" s="449">
        <f t="shared" si="3"/>
        <v>0.18592446479380398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3163.4559387470745</v>
      </c>
      <c r="D31" s="463">
        <f>LN_IA14*LN_IA4</f>
        <v>3677.7242497183956</v>
      </c>
      <c r="E31" s="463">
        <f t="shared" si="2"/>
        <v>514.26831097132117</v>
      </c>
      <c r="F31" s="449">
        <f t="shared" si="3"/>
        <v>0.16256534654786545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9823.9481129959022</v>
      </c>
      <c r="D32" s="465">
        <f>IF(LN_IA15=0,0,LN_IA12/LN_IA15)</f>
        <v>9371.9285785602806</v>
      </c>
      <c r="E32" s="465">
        <f t="shared" si="2"/>
        <v>-452.01953443562161</v>
      </c>
      <c r="F32" s="449">
        <f t="shared" si="3"/>
        <v>-4.6012003446725673E-2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537969072</v>
      </c>
      <c r="D35" s="448">
        <f>LN_IA1+LN_IA11</f>
        <v>573620453</v>
      </c>
      <c r="E35" s="448">
        <f>D35-C35</f>
        <v>35651381</v>
      </c>
      <c r="F35" s="449">
        <f>IF(C35=0,0,E35/C35)</f>
        <v>6.6270317115925209E-2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152153815</v>
      </c>
      <c r="D36" s="448">
        <f>LN_IA2+LN_IA12</f>
        <v>160079187</v>
      </c>
      <c r="E36" s="448">
        <f>D36-C36</f>
        <v>7925372</v>
      </c>
      <c r="F36" s="449">
        <f>IF(C36=0,0,E36/C36)</f>
        <v>5.2087895397167662E-2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385815257</v>
      </c>
      <c r="D37" s="448">
        <f>LN_IA17-LN_IA18</f>
        <v>413541266</v>
      </c>
      <c r="E37" s="448">
        <f>D37-C37</f>
        <v>27726009</v>
      </c>
      <c r="F37" s="449">
        <f>IF(C37=0,0,E37/C37)</f>
        <v>7.1863433332290436E-2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205353607</v>
      </c>
      <c r="D42" s="448">
        <v>213641687</v>
      </c>
      <c r="E42" s="448">
        <f t="shared" ref="E42:E53" si="4">D42-C42</f>
        <v>8288080</v>
      </c>
      <c r="F42" s="449">
        <f t="shared" ref="F42:F53" si="5">IF(C42=0,0,E42/C42)</f>
        <v>4.0360041009652195E-2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86004341</v>
      </c>
      <c r="D43" s="448">
        <v>93881151</v>
      </c>
      <c r="E43" s="448">
        <f t="shared" si="4"/>
        <v>7876810</v>
      </c>
      <c r="F43" s="449">
        <f t="shared" si="5"/>
        <v>9.1586190980755267E-2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0.41881095860176443</v>
      </c>
      <c r="D44" s="453">
        <f>IF(LN_IB1=0,0,LN_IB2/LN_IB1)</f>
        <v>0.43943273580310194</v>
      </c>
      <c r="E44" s="454">
        <f t="shared" si="4"/>
        <v>2.062177720133751E-2</v>
      </c>
      <c r="F44" s="449">
        <f t="shared" si="5"/>
        <v>4.9238867268862889E-2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5672</v>
      </c>
      <c r="D45" s="456">
        <v>5525</v>
      </c>
      <c r="E45" s="456">
        <f t="shared" si="4"/>
        <v>-147</v>
      </c>
      <c r="F45" s="449">
        <f t="shared" si="5"/>
        <v>-2.5916784203102963E-2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1.2174799999999999</v>
      </c>
      <c r="D46" s="459">
        <v>1.2422</v>
      </c>
      <c r="E46" s="460">
        <f t="shared" si="4"/>
        <v>2.4720000000000075E-2</v>
      </c>
      <c r="F46" s="449">
        <f t="shared" si="5"/>
        <v>2.0304234977166012E-2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6905.5465599999998</v>
      </c>
      <c r="D47" s="463">
        <f>LN_IB4*LN_IB5</f>
        <v>6863.1549999999997</v>
      </c>
      <c r="E47" s="463">
        <f t="shared" si="4"/>
        <v>-42.391560000000027</v>
      </c>
      <c r="F47" s="449">
        <f t="shared" si="5"/>
        <v>-6.1387697022493217E-3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12454.385797378507</v>
      </c>
      <c r="D48" s="465">
        <f>IF(LN_IB6=0,0,LN_IB2/LN_IB6)</f>
        <v>13679.007832403611</v>
      </c>
      <c r="E48" s="465">
        <f t="shared" si="4"/>
        <v>1224.6220350251042</v>
      </c>
      <c r="F48" s="449">
        <f t="shared" si="5"/>
        <v>9.8328577173422069E-2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-1905.8302204661304</v>
      </c>
      <c r="D49" s="465">
        <f>LN_IA7-LN_IB7</f>
        <v>-2593.0971148652006</v>
      </c>
      <c r="E49" s="465">
        <f t="shared" si="4"/>
        <v>-687.26689439907022</v>
      </c>
      <c r="F49" s="449">
        <f t="shared" si="5"/>
        <v>0.36061286415690147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-13160799.322883928</v>
      </c>
      <c r="D50" s="479">
        <f>LN_IB8*LN_IB6</f>
        <v>-17796827.429372676</v>
      </c>
      <c r="E50" s="479">
        <f t="shared" si="4"/>
        <v>-4636028.1064887475</v>
      </c>
      <c r="F50" s="449">
        <f t="shared" si="5"/>
        <v>0.35226037512992442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23454</v>
      </c>
      <c r="D51" s="456">
        <v>21986</v>
      </c>
      <c r="E51" s="456">
        <f t="shared" si="4"/>
        <v>-1468</v>
      </c>
      <c r="F51" s="449">
        <f t="shared" si="5"/>
        <v>-6.259060288223757E-2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3666.9370256672637</v>
      </c>
      <c r="D52" s="465">
        <f>IF(LN_IB10=0,0,LN_IB2/LN_IB10)</f>
        <v>4270.0423451287179</v>
      </c>
      <c r="E52" s="465">
        <f t="shared" si="4"/>
        <v>603.1053194614542</v>
      </c>
      <c r="F52" s="449">
        <f t="shared" si="5"/>
        <v>0.16447114178398212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4.1350493653032441</v>
      </c>
      <c r="D53" s="466">
        <f>IF(LN_IB4=0,0,LN_IB10/LN_IB4)</f>
        <v>3.9793665158371039</v>
      </c>
      <c r="E53" s="466">
        <f t="shared" si="4"/>
        <v>-0.15568284946614019</v>
      </c>
      <c r="F53" s="449">
        <f t="shared" si="5"/>
        <v>-3.7649574578832917E-2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269703464</v>
      </c>
      <c r="D56" s="448">
        <v>302900956</v>
      </c>
      <c r="E56" s="448">
        <f t="shared" ref="E56:E63" si="6">D56-C56</f>
        <v>33197492</v>
      </c>
      <c r="F56" s="449">
        <f t="shared" ref="F56:F63" si="7">IF(C56=0,0,E56/C56)</f>
        <v>0.12308886028990713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93021445</v>
      </c>
      <c r="D57" s="448">
        <v>97825415</v>
      </c>
      <c r="E57" s="448">
        <f t="shared" si="6"/>
        <v>4803970</v>
      </c>
      <c r="F57" s="449">
        <f t="shared" si="7"/>
        <v>5.1643682808840477E-2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0.3449026705863889</v>
      </c>
      <c r="D58" s="453">
        <f>IF(LN_IB13=0,0,LN_IB14/LN_IB13)</f>
        <v>0.32296172416174218</v>
      </c>
      <c r="E58" s="454">
        <f t="shared" si="6"/>
        <v>-2.1940946424646723E-2</v>
      </c>
      <c r="F58" s="449">
        <f t="shared" si="7"/>
        <v>-6.3614892825688066E-2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1.3133612208720542</v>
      </c>
      <c r="D59" s="453">
        <f>IF(LN_IB1=0,0,LN_IB13/LN_IB1)</f>
        <v>1.4177989335948278</v>
      </c>
      <c r="E59" s="454">
        <f t="shared" si="6"/>
        <v>0.10443771272277358</v>
      </c>
      <c r="F59" s="449">
        <f t="shared" si="7"/>
        <v>7.9519412529500719E-2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7449.3848447862911</v>
      </c>
      <c r="D60" s="463">
        <f>LN_IB16*LN_IB4</f>
        <v>7833.3391081114232</v>
      </c>
      <c r="E60" s="463">
        <f t="shared" si="6"/>
        <v>383.95426332513216</v>
      </c>
      <c r="F60" s="449">
        <f t="shared" si="7"/>
        <v>5.1541740871913176E-2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12487.131077018295</v>
      </c>
      <c r="D61" s="465">
        <f>IF(LN_IB17=0,0,LN_IB14/LN_IB17)</f>
        <v>12488.341644587015</v>
      </c>
      <c r="E61" s="465">
        <f t="shared" si="6"/>
        <v>1.2105675687198527</v>
      </c>
      <c r="F61" s="449">
        <f t="shared" si="7"/>
        <v>9.6945211934854988E-5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-2663.1829640223932</v>
      </c>
      <c r="D62" s="465">
        <f>LN_IA16-LN_IB18</f>
        <v>-3116.4130660267347</v>
      </c>
      <c r="E62" s="465">
        <f t="shared" si="6"/>
        <v>-453.23010200434146</v>
      </c>
      <c r="F62" s="449">
        <f t="shared" si="7"/>
        <v>0.17018361416663466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-19839074.81108145</v>
      </c>
      <c r="D63" s="448">
        <f>LN_IB19*LN_IB17</f>
        <v>-24411920.347136647</v>
      </c>
      <c r="E63" s="448">
        <f t="shared" si="6"/>
        <v>-4572845.5360551961</v>
      </c>
      <c r="F63" s="449">
        <f t="shared" si="7"/>
        <v>0.23049691478057011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475057071</v>
      </c>
      <c r="D66" s="448">
        <f>LN_IB1+LN_IB13</f>
        <v>516542643</v>
      </c>
      <c r="E66" s="448">
        <f>D66-C66</f>
        <v>41485572</v>
      </c>
      <c r="F66" s="449">
        <f>IF(C66=0,0,E66/C66)</f>
        <v>8.7327553956143514E-2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179025786</v>
      </c>
      <c r="D67" s="448">
        <f>LN_IB2+LN_IB14</f>
        <v>191706566</v>
      </c>
      <c r="E67" s="448">
        <f>D67-C67</f>
        <v>12680780</v>
      </c>
      <c r="F67" s="449">
        <f>IF(C67=0,0,E67/C67)</f>
        <v>7.0832142583080182E-2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296031285</v>
      </c>
      <c r="D68" s="448">
        <f>LN_IB21-LN_IB22</f>
        <v>324836077</v>
      </c>
      <c r="E68" s="448">
        <f>D68-C68</f>
        <v>28804792</v>
      </c>
      <c r="F68" s="449">
        <f>IF(C68=0,0,E68/C68)</f>
        <v>9.730320226120695E-2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-32999874.13396538</v>
      </c>
      <c r="D70" s="441">
        <f>LN_IB9+LN_IB20</f>
        <v>-42208747.776509322</v>
      </c>
      <c r="E70" s="448">
        <f>D70-C70</f>
        <v>-9208873.6425439417</v>
      </c>
      <c r="F70" s="449">
        <f>IF(C70=0,0,E70/C70)</f>
        <v>0.27905784140751116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413365615</v>
      </c>
      <c r="D73" s="488">
        <v>445668953</v>
      </c>
      <c r="E73" s="488">
        <f>D73-C73</f>
        <v>32303338</v>
      </c>
      <c r="F73" s="489">
        <f>IF(C73=0,0,E73/C73)</f>
        <v>7.8147133742607011E-2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163302210</v>
      </c>
      <c r="D74" s="488">
        <v>174346795</v>
      </c>
      <c r="E74" s="488">
        <f>D74-C74</f>
        <v>11044585</v>
      </c>
      <c r="F74" s="489">
        <f>IF(C74=0,0,E74/C74)</f>
        <v>6.7632795661491663E-2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250063405</v>
      </c>
      <c r="D76" s="441">
        <f>LN_IB32-LN_IB33</f>
        <v>271322158</v>
      </c>
      <c r="E76" s="488">
        <f>D76-C76</f>
        <v>21258753</v>
      </c>
      <c r="F76" s="489">
        <f>IF(E76=0,0,E76/C76)</f>
        <v>8.501345088858564E-2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0.60494486218937205</v>
      </c>
      <c r="D77" s="453">
        <f>IF(LN_IB32=0,0,LN_IB34/LN_IB32)</f>
        <v>0.60879753048447149</v>
      </c>
      <c r="E77" s="493">
        <f>D77-C77</f>
        <v>3.8526682950994484E-3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10522802</v>
      </c>
      <c r="D83" s="448">
        <v>12095054</v>
      </c>
      <c r="E83" s="448">
        <f t="shared" ref="E83:E95" si="8">D83-C83</f>
        <v>1572252</v>
      </c>
      <c r="F83" s="449">
        <f t="shared" ref="F83:F95" si="9">IF(C83=0,0,E83/C83)</f>
        <v>0.14941381582586083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1360781</v>
      </c>
      <c r="D84" s="448">
        <v>2401935</v>
      </c>
      <c r="E84" s="448">
        <f t="shared" si="8"/>
        <v>1041154</v>
      </c>
      <c r="F84" s="449">
        <f t="shared" si="9"/>
        <v>0.76511503320519614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0.12931736242875233</v>
      </c>
      <c r="D85" s="453">
        <f>IF(LN_IC1=0,0,LN_IC2/LN_IC1)</f>
        <v>0.19858819977157605</v>
      </c>
      <c r="E85" s="454">
        <f t="shared" si="8"/>
        <v>6.9270837342823716E-2</v>
      </c>
      <c r="F85" s="449">
        <f t="shared" si="9"/>
        <v>0.53566540518477268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296</v>
      </c>
      <c r="D86" s="456">
        <v>301</v>
      </c>
      <c r="E86" s="456">
        <f t="shared" si="8"/>
        <v>5</v>
      </c>
      <c r="F86" s="449">
        <f t="shared" si="9"/>
        <v>1.6891891891891893E-2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1.0761799999999999</v>
      </c>
      <c r="D87" s="459">
        <v>1.1533199999999999</v>
      </c>
      <c r="E87" s="460">
        <f t="shared" si="8"/>
        <v>7.7139999999999986E-2</v>
      </c>
      <c r="F87" s="449">
        <f t="shared" si="9"/>
        <v>7.1679458826590339E-2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318.54927999999995</v>
      </c>
      <c r="D88" s="463">
        <f>LN_IC4*LN_IC5</f>
        <v>347.14931999999999</v>
      </c>
      <c r="E88" s="463">
        <f t="shared" si="8"/>
        <v>28.600040000000035</v>
      </c>
      <c r="F88" s="449">
        <f t="shared" si="9"/>
        <v>8.978215238785045E-2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4271.8068614061858</v>
      </c>
      <c r="D89" s="465">
        <f>IF(LN_IC6=0,0,LN_IC2/LN_IC6)</f>
        <v>6919.0255075251198</v>
      </c>
      <c r="E89" s="465">
        <f t="shared" si="8"/>
        <v>2647.218646118934</v>
      </c>
      <c r="F89" s="449">
        <f t="shared" si="9"/>
        <v>0.61969530271495632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8182.5789359723212</v>
      </c>
      <c r="D90" s="465">
        <f>LN_IB7-LN_IC7</f>
        <v>6759.9823248784915</v>
      </c>
      <c r="E90" s="465">
        <f t="shared" si="8"/>
        <v>-1422.5966110938298</v>
      </c>
      <c r="F90" s="449">
        <f t="shared" si="9"/>
        <v>-0.17385675374786777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6276.7487155061908</v>
      </c>
      <c r="D91" s="465">
        <f>LN_IA7-LN_IC7</f>
        <v>4166.8852100132908</v>
      </c>
      <c r="E91" s="465">
        <f t="shared" si="8"/>
        <v>-2109.8635054929</v>
      </c>
      <c r="F91" s="449">
        <f t="shared" si="9"/>
        <v>-0.33613955267647661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1999453.7840654217</v>
      </c>
      <c r="D92" s="441">
        <f>LN_IC9*LN_IC6</f>
        <v>1446531.3671741711</v>
      </c>
      <c r="E92" s="441">
        <f t="shared" si="8"/>
        <v>-552922.41689125053</v>
      </c>
      <c r="F92" s="449">
        <f t="shared" si="9"/>
        <v>-0.27653673283060942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1332</v>
      </c>
      <c r="D93" s="456">
        <v>1191</v>
      </c>
      <c r="E93" s="456">
        <f t="shared" si="8"/>
        <v>-141</v>
      </c>
      <c r="F93" s="449">
        <f t="shared" si="9"/>
        <v>-0.10585585585585586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1021.6073573573574</v>
      </c>
      <c r="D94" s="499">
        <f>IF(LN_IC11=0,0,LN_IC2/LN_IC11)</f>
        <v>2016.7380352644836</v>
      </c>
      <c r="E94" s="499">
        <f t="shared" si="8"/>
        <v>995.13067790712626</v>
      </c>
      <c r="F94" s="449">
        <f t="shared" si="9"/>
        <v>0.97408331169548379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4.5</v>
      </c>
      <c r="D95" s="466">
        <f>IF(LN_IC4=0,0,LN_IC11/LN_IC4)</f>
        <v>3.9568106312292359</v>
      </c>
      <c r="E95" s="466">
        <f t="shared" si="8"/>
        <v>-0.54318936877076407</v>
      </c>
      <c r="F95" s="449">
        <f t="shared" si="9"/>
        <v>-0.12070874861572535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36993422</v>
      </c>
      <c r="D98" s="448">
        <v>40109711</v>
      </c>
      <c r="E98" s="448">
        <f t="shared" ref="E98:E106" si="10">D98-C98</f>
        <v>3116289</v>
      </c>
      <c r="F98" s="449">
        <f t="shared" ref="F98:F106" si="11">IF(C98=0,0,E98/C98)</f>
        <v>8.4239003355785796E-2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3002200</v>
      </c>
      <c r="D99" s="448">
        <v>3308858</v>
      </c>
      <c r="E99" s="448">
        <f t="shared" si="10"/>
        <v>306658</v>
      </c>
      <c r="F99" s="449">
        <f t="shared" si="11"/>
        <v>0.10214442741989208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8.1154968577927172E-2</v>
      </c>
      <c r="D100" s="453">
        <f>IF(LN_IC14=0,0,LN_IC15/LN_IC14)</f>
        <v>8.2495184270961211E-2</v>
      </c>
      <c r="E100" s="454">
        <f t="shared" si="10"/>
        <v>1.3402156930340386E-3</v>
      </c>
      <c r="F100" s="449">
        <f t="shared" si="11"/>
        <v>1.6514277764116535E-2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3.5155486152832678</v>
      </c>
      <c r="D101" s="453">
        <f>IF(LN_IC1=0,0,LN_IC14/LN_IC1)</f>
        <v>3.3162076829090634</v>
      </c>
      <c r="E101" s="454">
        <f t="shared" si="10"/>
        <v>-0.19934093237420436</v>
      </c>
      <c r="F101" s="449">
        <f t="shared" si="11"/>
        <v>-5.670265275456654E-2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1040.6023901238473</v>
      </c>
      <c r="D102" s="463">
        <f>LN_IC17*LN_IC4</f>
        <v>998.17851255562812</v>
      </c>
      <c r="E102" s="463">
        <f t="shared" si="10"/>
        <v>-42.423877568219154</v>
      </c>
      <c r="F102" s="449">
        <f t="shared" si="11"/>
        <v>-4.0768575942988251E-2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2885.0596812896933</v>
      </c>
      <c r="D103" s="465">
        <f>IF(LN_IC18=0,0,LN_IC15/LN_IC18)</f>
        <v>3314.8960415190249</v>
      </c>
      <c r="E103" s="465">
        <f t="shared" si="10"/>
        <v>429.8363602293316</v>
      </c>
      <c r="F103" s="449">
        <f t="shared" si="11"/>
        <v>0.14898699081233011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9602.0713957286025</v>
      </c>
      <c r="D104" s="465">
        <f>LN_IB18-LN_IC19</f>
        <v>9173.4456030679903</v>
      </c>
      <c r="E104" s="465">
        <f t="shared" si="10"/>
        <v>-428.62579266061221</v>
      </c>
      <c r="F104" s="449">
        <f t="shared" si="11"/>
        <v>-4.4638888318543707E-2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6938.8884317062093</v>
      </c>
      <c r="D105" s="465">
        <f>LN_IA16-LN_IC19</f>
        <v>6057.0325370412556</v>
      </c>
      <c r="E105" s="465">
        <f t="shared" si="10"/>
        <v>-881.85589466495367</v>
      </c>
      <c r="F105" s="449">
        <f t="shared" si="11"/>
        <v>-0.12708892834123769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7220623.8868361954</v>
      </c>
      <c r="D106" s="448">
        <f>LN_IC21*LN_IC18</f>
        <v>6045999.7283248827</v>
      </c>
      <c r="E106" s="448">
        <f t="shared" si="10"/>
        <v>-1174624.1585113127</v>
      </c>
      <c r="F106" s="449">
        <f t="shared" si="11"/>
        <v>-0.16267626965763324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47516224</v>
      </c>
      <c r="D109" s="448">
        <f>LN_IC1+LN_IC14</f>
        <v>52204765</v>
      </c>
      <c r="E109" s="448">
        <f>D109-C109</f>
        <v>4688541</v>
      </c>
      <c r="F109" s="449">
        <f>IF(C109=0,0,E109/C109)</f>
        <v>9.8672423970389569E-2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4362981</v>
      </c>
      <c r="D110" s="448">
        <f>LN_IC2+LN_IC15</f>
        <v>5710793</v>
      </c>
      <c r="E110" s="448">
        <f>D110-C110</f>
        <v>1347812</v>
      </c>
      <c r="F110" s="449">
        <f>IF(C110=0,0,E110/C110)</f>
        <v>0.30891997925271736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43153243</v>
      </c>
      <c r="D111" s="448">
        <f>LN_IC23-LN_IC24</f>
        <v>46493972</v>
      </c>
      <c r="E111" s="448">
        <f>D111-C111</f>
        <v>3340729</v>
      </c>
      <c r="F111" s="449">
        <f>IF(C111=0,0,E111/C111)</f>
        <v>7.7415479527228118E-2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9220077.670901617</v>
      </c>
      <c r="D113" s="448">
        <f>LN_IC10+LN_IC22</f>
        <v>7492531.0954990536</v>
      </c>
      <c r="E113" s="448">
        <f>D113-C113</f>
        <v>-1727546.5754025634</v>
      </c>
      <c r="F113" s="449">
        <f>IF(C113=0,0,E113/C113)</f>
        <v>-0.1873678983046603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186325210</v>
      </c>
      <c r="D118" s="448">
        <v>198004779</v>
      </c>
      <c r="E118" s="448">
        <f t="shared" ref="E118:E130" si="12">D118-C118</f>
        <v>11679569</v>
      </c>
      <c r="F118" s="449">
        <f t="shared" ref="F118:F130" si="13">IF(C118=0,0,E118/C118)</f>
        <v>6.26837828332516E-2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49170715</v>
      </c>
      <c r="D119" s="448">
        <v>44541610</v>
      </c>
      <c r="E119" s="448">
        <f t="shared" si="12"/>
        <v>-4629105</v>
      </c>
      <c r="F119" s="449">
        <f t="shared" si="13"/>
        <v>-9.4143536452540907E-2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0.26389727401890489</v>
      </c>
      <c r="D120" s="453">
        <f>IF(LN_ID1=0,0,LN_1D2/LN_ID1)</f>
        <v>0.22495219673460506</v>
      </c>
      <c r="E120" s="454">
        <f t="shared" si="12"/>
        <v>-3.8945077284299828E-2</v>
      </c>
      <c r="F120" s="449">
        <f t="shared" si="13"/>
        <v>-0.14757665621627417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5984</v>
      </c>
      <c r="D121" s="456">
        <v>5789</v>
      </c>
      <c r="E121" s="456">
        <f t="shared" si="12"/>
        <v>-195</v>
      </c>
      <c r="F121" s="449">
        <f t="shared" si="13"/>
        <v>-3.2586898395721924E-2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0.97424999999999995</v>
      </c>
      <c r="D122" s="459">
        <v>1.0349299999999999</v>
      </c>
      <c r="E122" s="460">
        <f t="shared" si="12"/>
        <v>6.0679999999999956E-2</v>
      </c>
      <c r="F122" s="449">
        <f t="shared" si="13"/>
        <v>6.2283808057480072E-2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5829.9119999999994</v>
      </c>
      <c r="D123" s="463">
        <f>LN_ID4*LN_ID5</f>
        <v>5991.2097699999995</v>
      </c>
      <c r="E123" s="463">
        <f t="shared" si="12"/>
        <v>161.29777000000013</v>
      </c>
      <c r="F123" s="449">
        <f t="shared" si="13"/>
        <v>2.7667273536890462E-2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8434.2122145239937</v>
      </c>
      <c r="D124" s="465">
        <f>IF(LN_ID6=0,0,LN_1D2/LN_ID6)</f>
        <v>7434.4934846105389</v>
      </c>
      <c r="E124" s="465">
        <f t="shared" si="12"/>
        <v>-999.71872991345481</v>
      </c>
      <c r="F124" s="449">
        <f t="shared" si="13"/>
        <v>-0.11853137014882148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4020.1735828545134</v>
      </c>
      <c r="D125" s="465">
        <f>LN_IB7-LN_ID7</f>
        <v>6244.5143477930724</v>
      </c>
      <c r="E125" s="465">
        <f t="shared" si="12"/>
        <v>2224.340764938559</v>
      </c>
      <c r="F125" s="449">
        <f t="shared" si="13"/>
        <v>0.55329470708057638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2114.343362388383</v>
      </c>
      <c r="D126" s="465">
        <f>LN_IA7-LN_ID7</f>
        <v>3651.4172329278717</v>
      </c>
      <c r="E126" s="465">
        <f t="shared" si="12"/>
        <v>1537.0738705394888</v>
      </c>
      <c r="F126" s="449">
        <f t="shared" si="13"/>
        <v>0.72697457654332698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12326435.740508381</v>
      </c>
      <c r="D127" s="479">
        <f>LN_ID9*LN_ID6</f>
        <v>21876406.60026383</v>
      </c>
      <c r="E127" s="479">
        <f t="shared" si="12"/>
        <v>9549970.859755449</v>
      </c>
      <c r="F127" s="449">
        <f t="shared" si="13"/>
        <v>0.77475525454380678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26620</v>
      </c>
      <c r="D128" s="456">
        <v>26165</v>
      </c>
      <c r="E128" s="456">
        <f t="shared" si="12"/>
        <v>-455</v>
      </c>
      <c r="F128" s="449">
        <f t="shared" si="13"/>
        <v>-1.7092411720510892E-2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1847.1342975206612</v>
      </c>
      <c r="D129" s="465">
        <f>IF(LN_ID11=0,0,LN_1D2/LN_ID11)</f>
        <v>1702.3355627746989</v>
      </c>
      <c r="E129" s="465">
        <f t="shared" si="12"/>
        <v>-144.79873474596229</v>
      </c>
      <c r="F129" s="449">
        <f t="shared" si="13"/>
        <v>-7.8391016257085458E-2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4.4485294117647056</v>
      </c>
      <c r="D130" s="466">
        <f>IF(LN_ID4=0,0,LN_ID11/LN_ID4)</f>
        <v>4.5197788910001728</v>
      </c>
      <c r="E130" s="466">
        <f t="shared" si="12"/>
        <v>7.1249479235467206E-2</v>
      </c>
      <c r="F130" s="449">
        <f t="shared" si="13"/>
        <v>1.6016411861195935E-2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189897024</v>
      </c>
      <c r="D133" s="448">
        <v>222585424</v>
      </c>
      <c r="E133" s="448">
        <f t="shared" ref="E133:E141" si="14">D133-C133</f>
        <v>32688400</v>
      </c>
      <c r="F133" s="449">
        <f t="shared" ref="F133:F141" si="15">IF(C133=0,0,E133/C133)</f>
        <v>0.17213750543031153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31374997</v>
      </c>
      <c r="D134" s="448">
        <v>33268005</v>
      </c>
      <c r="E134" s="448">
        <f t="shared" si="14"/>
        <v>1893008</v>
      </c>
      <c r="F134" s="449">
        <f t="shared" si="15"/>
        <v>6.0334922103737573E-2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0.16522110952091593</v>
      </c>
      <c r="D135" s="453">
        <f>IF(LN_ID14=0,0,LN_ID15/LN_ID14)</f>
        <v>0.14946174103475887</v>
      </c>
      <c r="E135" s="454">
        <f t="shared" si="14"/>
        <v>-1.5759368486157055E-2</v>
      </c>
      <c r="F135" s="449">
        <f t="shared" si="15"/>
        <v>-9.5383504758282847E-2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1.019169783841918</v>
      </c>
      <c r="D136" s="453">
        <f>IF(LN_ID1=0,0,LN_ID14/LN_ID1)</f>
        <v>1.124141675388552</v>
      </c>
      <c r="E136" s="454">
        <f t="shared" si="14"/>
        <v>0.104971891546634</v>
      </c>
      <c r="F136" s="449">
        <f t="shared" si="15"/>
        <v>0.10299745264319575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6098.7119865100376</v>
      </c>
      <c r="D137" s="463">
        <f>LN_ID17*LN_ID4</f>
        <v>6507.6561588243276</v>
      </c>
      <c r="E137" s="463">
        <f t="shared" si="14"/>
        <v>408.94417231428997</v>
      </c>
      <c r="F137" s="449">
        <f t="shared" si="15"/>
        <v>6.7054186723171788E-2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5144.5283970450637</v>
      </c>
      <c r="D138" s="465">
        <f>IF(LN_ID18=0,0,LN_ID15/LN_ID18)</f>
        <v>5112.1331840633375</v>
      </c>
      <c r="E138" s="465">
        <f t="shared" si="14"/>
        <v>-32.395212981726218</v>
      </c>
      <c r="F138" s="449">
        <f t="shared" si="15"/>
        <v>-6.2970228719766656E-3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7342.6026799732317</v>
      </c>
      <c r="D139" s="465">
        <f>LN_IB18-LN_ID19</f>
        <v>7376.2084605236778</v>
      </c>
      <c r="E139" s="465">
        <f t="shared" si="14"/>
        <v>33.60578055044607</v>
      </c>
      <c r="F139" s="449">
        <f t="shared" si="15"/>
        <v>4.5768213282335176E-3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4679.4197159508385</v>
      </c>
      <c r="D140" s="465">
        <f>LN_IA16-LN_ID19</f>
        <v>4259.7953944969431</v>
      </c>
      <c r="E140" s="465">
        <f t="shared" si="14"/>
        <v>-419.62432145389539</v>
      </c>
      <c r="F140" s="449">
        <f t="shared" si="15"/>
        <v>-8.9674435491117185E-2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28538433.111580774</v>
      </c>
      <c r="D141" s="441">
        <f>LN_ID21*LN_ID18</f>
        <v>27721283.734329537</v>
      </c>
      <c r="E141" s="441">
        <f t="shared" si="14"/>
        <v>-817149.37725123763</v>
      </c>
      <c r="F141" s="449">
        <f t="shared" si="15"/>
        <v>-2.8633295109661852E-2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376222234</v>
      </c>
      <c r="D144" s="448">
        <f>LN_ID1+LN_ID14</f>
        <v>420590203</v>
      </c>
      <c r="E144" s="448">
        <f>D144-C144</f>
        <v>44367969</v>
      </c>
      <c r="F144" s="449">
        <f>IF(C144=0,0,E144/C144)</f>
        <v>0.11793021515044218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80545712</v>
      </c>
      <c r="D145" s="448">
        <f>LN_1D2+LN_ID15</f>
        <v>77809615</v>
      </c>
      <c r="E145" s="448">
        <f>D145-C145</f>
        <v>-2736097</v>
      </c>
      <c r="F145" s="449">
        <f>IF(C145=0,0,E145/C145)</f>
        <v>-3.396949300044675E-2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295676522</v>
      </c>
      <c r="D146" s="448">
        <f>LN_ID23-LN_ID24</f>
        <v>342780588</v>
      </c>
      <c r="E146" s="448">
        <f>D146-C146</f>
        <v>47104066</v>
      </c>
      <c r="F146" s="449">
        <f>IF(C146=0,0,E146/C146)</f>
        <v>0.15930945643360889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40864868.852089152</v>
      </c>
      <c r="D148" s="448">
        <f>LN_ID10+LN_ID22</f>
        <v>49597690.334593371</v>
      </c>
      <c r="E148" s="448">
        <f>D148-C148</f>
        <v>8732821.4825042188</v>
      </c>
      <c r="F148" s="503">
        <f>IF(C148=0,0,E148/C148)</f>
        <v>0.21369997574475924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12454.385797378507</v>
      </c>
      <c r="D160" s="465">
        <f>LN_IB7-LN_IE7</f>
        <v>13679.007832403611</v>
      </c>
      <c r="E160" s="465">
        <f t="shared" si="16"/>
        <v>1224.6220350251042</v>
      </c>
      <c r="F160" s="449">
        <f t="shared" si="17"/>
        <v>9.8328577173422069E-2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10548.555576912377</v>
      </c>
      <c r="D161" s="465">
        <f>LN_IA7-LN_IE7</f>
        <v>11085.910717538411</v>
      </c>
      <c r="E161" s="465">
        <f t="shared" si="16"/>
        <v>537.35514062603397</v>
      </c>
      <c r="F161" s="449">
        <f t="shared" si="17"/>
        <v>5.0941111008804198E-2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12487.131077018295</v>
      </c>
      <c r="D174" s="465">
        <f>LN_IB18-LN_IE19</f>
        <v>12488.341644587015</v>
      </c>
      <c r="E174" s="465">
        <f t="shared" si="18"/>
        <v>1.2105675687198527</v>
      </c>
      <c r="F174" s="449">
        <f t="shared" si="19"/>
        <v>9.6945211934854988E-5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9823.9481129959022</v>
      </c>
      <c r="D175" s="465">
        <f>LN_IA16-LN_IE19</f>
        <v>9371.9285785602806</v>
      </c>
      <c r="E175" s="465">
        <f t="shared" si="18"/>
        <v>-452.01953443562161</v>
      </c>
      <c r="F175" s="449">
        <f t="shared" si="19"/>
        <v>-4.6012003446725673E-2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186325210</v>
      </c>
      <c r="D188" s="448">
        <f>LN_ID1+LN_IE1</f>
        <v>198004779</v>
      </c>
      <c r="E188" s="448">
        <f t="shared" ref="E188:E200" si="20">D188-C188</f>
        <v>11679569</v>
      </c>
      <c r="F188" s="449">
        <f t="shared" ref="F188:F200" si="21">IF(C188=0,0,E188/C188)</f>
        <v>6.26837828332516E-2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49170715</v>
      </c>
      <c r="D189" s="448">
        <f>LN_1D2+LN_IE2</f>
        <v>44541610</v>
      </c>
      <c r="E189" s="448">
        <f t="shared" si="20"/>
        <v>-4629105</v>
      </c>
      <c r="F189" s="449">
        <f t="shared" si="21"/>
        <v>-9.4143536452540907E-2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0.26389727401890489</v>
      </c>
      <c r="D190" s="453">
        <f>IF(LN_IF1=0,0,LN_IF2/LN_IF1)</f>
        <v>0.22495219673460506</v>
      </c>
      <c r="E190" s="454">
        <f t="shared" si="20"/>
        <v>-3.8945077284299828E-2</v>
      </c>
      <c r="F190" s="449">
        <f t="shared" si="21"/>
        <v>-0.14757665621627417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5984</v>
      </c>
      <c r="D191" s="456">
        <f>LN_ID4+LN_IE4</f>
        <v>5789</v>
      </c>
      <c r="E191" s="456">
        <f t="shared" si="20"/>
        <v>-195</v>
      </c>
      <c r="F191" s="449">
        <f t="shared" si="21"/>
        <v>-3.2586898395721924E-2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0.97424999999999984</v>
      </c>
      <c r="D192" s="459">
        <f>IF((LN_ID4+LN_IE4)=0,0,(LN_ID6+LN_IE6)/(LN_ID4+LN_IE4))</f>
        <v>1.0349299999999999</v>
      </c>
      <c r="E192" s="460">
        <f t="shared" si="20"/>
        <v>6.0680000000000067E-2</v>
      </c>
      <c r="F192" s="449">
        <f t="shared" si="21"/>
        <v>6.228380805748019E-2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5829.9119999999994</v>
      </c>
      <c r="D193" s="463">
        <f>LN_IF4*LN_IF5</f>
        <v>5991.2097699999995</v>
      </c>
      <c r="E193" s="463">
        <f t="shared" si="20"/>
        <v>161.29777000000013</v>
      </c>
      <c r="F193" s="449">
        <f t="shared" si="21"/>
        <v>2.7667273536890462E-2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8434.2122145239937</v>
      </c>
      <c r="D194" s="465">
        <f>IF(LN_IF6=0,0,LN_IF2/LN_IF6)</f>
        <v>7434.4934846105389</v>
      </c>
      <c r="E194" s="465">
        <f t="shared" si="20"/>
        <v>-999.71872991345481</v>
      </c>
      <c r="F194" s="449">
        <f t="shared" si="21"/>
        <v>-0.11853137014882148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4020.1735828545134</v>
      </c>
      <c r="D195" s="465">
        <f>LN_IB7-LN_IF7</f>
        <v>6244.5143477930724</v>
      </c>
      <c r="E195" s="465">
        <f t="shared" si="20"/>
        <v>2224.340764938559</v>
      </c>
      <c r="F195" s="449">
        <f t="shared" si="21"/>
        <v>0.55329470708057638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2114.343362388383</v>
      </c>
      <c r="D196" s="465">
        <f>LN_IA7-LN_IF7</f>
        <v>3651.4172329278717</v>
      </c>
      <c r="E196" s="465">
        <f t="shared" si="20"/>
        <v>1537.0738705394888</v>
      </c>
      <c r="F196" s="449">
        <f t="shared" si="21"/>
        <v>0.72697457654332698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12326435.740508381</v>
      </c>
      <c r="D197" s="479">
        <f>LN_IF9*LN_IF6</f>
        <v>21876406.60026383</v>
      </c>
      <c r="E197" s="479">
        <f t="shared" si="20"/>
        <v>9549970.859755449</v>
      </c>
      <c r="F197" s="449">
        <f t="shared" si="21"/>
        <v>0.77475525454380678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26620</v>
      </c>
      <c r="D198" s="456">
        <f>LN_ID11+LN_IE11</f>
        <v>26165</v>
      </c>
      <c r="E198" s="456">
        <f t="shared" si="20"/>
        <v>-455</v>
      </c>
      <c r="F198" s="449">
        <f t="shared" si="21"/>
        <v>-1.7092411720510892E-2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1847.1342975206612</v>
      </c>
      <c r="D199" s="519">
        <f>IF(LN_IF11=0,0,LN_IF2/LN_IF11)</f>
        <v>1702.3355627746989</v>
      </c>
      <c r="E199" s="519">
        <f t="shared" si="20"/>
        <v>-144.79873474596229</v>
      </c>
      <c r="F199" s="449">
        <f t="shared" si="21"/>
        <v>-7.8391016257085458E-2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4.4485294117647056</v>
      </c>
      <c r="D200" s="466">
        <f>IF(LN_IF4=0,0,LN_IF11/LN_IF4)</f>
        <v>4.5197788910001728</v>
      </c>
      <c r="E200" s="466">
        <f t="shared" si="20"/>
        <v>7.1249479235467206E-2</v>
      </c>
      <c r="F200" s="449">
        <f t="shared" si="21"/>
        <v>1.6016411861195935E-2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189897024</v>
      </c>
      <c r="D203" s="448">
        <f>LN_ID14+LN_IE14</f>
        <v>222585424</v>
      </c>
      <c r="E203" s="448">
        <f t="shared" ref="E203:E211" si="22">D203-C203</f>
        <v>32688400</v>
      </c>
      <c r="F203" s="449">
        <f t="shared" ref="F203:F211" si="23">IF(C203=0,0,E203/C203)</f>
        <v>0.17213750543031153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31374997</v>
      </c>
      <c r="D204" s="448">
        <f>LN_ID15+LN_IE15</f>
        <v>33268005</v>
      </c>
      <c r="E204" s="448">
        <f t="shared" si="22"/>
        <v>1893008</v>
      </c>
      <c r="F204" s="449">
        <f t="shared" si="23"/>
        <v>6.0334922103737573E-2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0.16522110952091593</v>
      </c>
      <c r="D205" s="453">
        <f>IF(LN_IF14=0,0,LN_IF15/LN_IF14)</f>
        <v>0.14946174103475887</v>
      </c>
      <c r="E205" s="454">
        <f t="shared" si="22"/>
        <v>-1.5759368486157055E-2</v>
      </c>
      <c r="F205" s="449">
        <f t="shared" si="23"/>
        <v>-9.5383504758282847E-2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1.019169783841918</v>
      </c>
      <c r="D206" s="453">
        <f>IF(LN_IF1=0,0,LN_IF14/LN_IF1)</f>
        <v>1.124141675388552</v>
      </c>
      <c r="E206" s="454">
        <f t="shared" si="22"/>
        <v>0.104971891546634</v>
      </c>
      <c r="F206" s="449">
        <f t="shared" si="23"/>
        <v>0.10299745264319575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6098.7119865100376</v>
      </c>
      <c r="D207" s="463">
        <f>LN_ID18+LN_IE18</f>
        <v>6507.6561588243276</v>
      </c>
      <c r="E207" s="463">
        <f t="shared" si="22"/>
        <v>408.94417231428997</v>
      </c>
      <c r="F207" s="449">
        <f t="shared" si="23"/>
        <v>6.7054186723171788E-2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5144.5283970450637</v>
      </c>
      <c r="D208" s="465">
        <f>IF(LN_IF18=0,0,LN_IF15/LN_IF18)</f>
        <v>5112.1331840633375</v>
      </c>
      <c r="E208" s="465">
        <f t="shared" si="22"/>
        <v>-32.395212981726218</v>
      </c>
      <c r="F208" s="449">
        <f t="shared" si="23"/>
        <v>-6.2970228719766656E-3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7342.6026799732317</v>
      </c>
      <c r="D209" s="465">
        <f>LN_IB18-LN_IF19</f>
        <v>7376.2084605236778</v>
      </c>
      <c r="E209" s="465">
        <f t="shared" si="22"/>
        <v>33.60578055044607</v>
      </c>
      <c r="F209" s="449">
        <f t="shared" si="23"/>
        <v>4.5768213282335176E-3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4679.4197159508385</v>
      </c>
      <c r="D210" s="465">
        <f>LN_IA16-LN_IF19</f>
        <v>4259.7953944969431</v>
      </c>
      <c r="E210" s="465">
        <f t="shared" si="22"/>
        <v>-419.62432145389539</v>
      </c>
      <c r="F210" s="449">
        <f t="shared" si="23"/>
        <v>-8.9674435491117185E-2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28538433.111580774</v>
      </c>
      <c r="D211" s="441">
        <f>LN_IF21*LN_IF18</f>
        <v>27721283.734329537</v>
      </c>
      <c r="E211" s="441">
        <f t="shared" si="22"/>
        <v>-817149.37725123763</v>
      </c>
      <c r="F211" s="449">
        <f t="shared" si="23"/>
        <v>-2.8633295109661852E-2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376222234</v>
      </c>
      <c r="D214" s="448">
        <f>LN_IF1+LN_IF14</f>
        <v>420590203</v>
      </c>
      <c r="E214" s="448">
        <f>D214-C214</f>
        <v>44367969</v>
      </c>
      <c r="F214" s="449">
        <f>IF(C214=0,0,E214/C214)</f>
        <v>0.11793021515044218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80545712</v>
      </c>
      <c r="D215" s="448">
        <f>LN_IF2+LN_IF15</f>
        <v>77809615</v>
      </c>
      <c r="E215" s="448">
        <f>D215-C215</f>
        <v>-2736097</v>
      </c>
      <c r="F215" s="449">
        <f>IF(C215=0,0,E215/C215)</f>
        <v>-3.396949300044675E-2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295676522</v>
      </c>
      <c r="D216" s="448">
        <f>LN_IF23-LN_IF24</f>
        <v>342780588</v>
      </c>
      <c r="E216" s="448">
        <f>D216-C216</f>
        <v>47104066</v>
      </c>
      <c r="F216" s="449">
        <f>IF(C216=0,0,E216/C216)</f>
        <v>0.15930945643360889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568230</v>
      </c>
      <c r="D221" s="448">
        <v>597583</v>
      </c>
      <c r="E221" s="448">
        <f t="shared" ref="E221:E230" si="24">D221-C221</f>
        <v>29353</v>
      </c>
      <c r="F221" s="449">
        <f t="shared" ref="F221:F230" si="25">IF(C221=0,0,E221/C221)</f>
        <v>5.1656899494922831E-2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68895</v>
      </c>
      <c r="D222" s="448">
        <v>81673</v>
      </c>
      <c r="E222" s="448">
        <f t="shared" si="24"/>
        <v>12778</v>
      </c>
      <c r="F222" s="449">
        <f t="shared" si="25"/>
        <v>0.18547064373321723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0.12124491843091706</v>
      </c>
      <c r="D223" s="453">
        <f>IF(LN_IG1=0,0,LN_IG2/LN_IG1)</f>
        <v>0.13667222795829198</v>
      </c>
      <c r="E223" s="454">
        <f t="shared" si="24"/>
        <v>1.5427309527374922E-2</v>
      </c>
      <c r="F223" s="449">
        <f t="shared" si="25"/>
        <v>0.12724087513956386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20</v>
      </c>
      <c r="D224" s="456">
        <v>22</v>
      </c>
      <c r="E224" s="456">
        <f t="shared" si="24"/>
        <v>2</v>
      </c>
      <c r="F224" s="449">
        <f t="shared" si="25"/>
        <v>0.1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1.05752</v>
      </c>
      <c r="D225" s="459">
        <v>1.2058500000000001</v>
      </c>
      <c r="E225" s="460">
        <f t="shared" si="24"/>
        <v>0.14833000000000007</v>
      </c>
      <c r="F225" s="449">
        <f t="shared" si="25"/>
        <v>0.14026212270217117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21.150400000000001</v>
      </c>
      <c r="D226" s="463">
        <f>LN_IG3*LN_IG4</f>
        <v>26.528700000000001</v>
      </c>
      <c r="E226" s="463">
        <f t="shared" si="24"/>
        <v>5.3782999999999994</v>
      </c>
      <c r="F226" s="449">
        <f t="shared" si="25"/>
        <v>0.25428833497238817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3257.3852031167257</v>
      </c>
      <c r="D227" s="465">
        <f>IF(LN_IG5=0,0,LN_IG2/LN_IG5)</f>
        <v>3078.6657469080656</v>
      </c>
      <c r="E227" s="465">
        <f t="shared" si="24"/>
        <v>-178.71945620866018</v>
      </c>
      <c r="F227" s="449">
        <f t="shared" si="25"/>
        <v>-5.4865926215191908E-2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71</v>
      </c>
      <c r="D228" s="456">
        <v>74</v>
      </c>
      <c r="E228" s="456">
        <f t="shared" si="24"/>
        <v>3</v>
      </c>
      <c r="F228" s="449">
        <f t="shared" si="25"/>
        <v>4.2253521126760563E-2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970.35211267605632</v>
      </c>
      <c r="D229" s="465">
        <f>IF(LN_IG6=0,0,LN_IG2/LN_IG6)</f>
        <v>1103.6891891891892</v>
      </c>
      <c r="E229" s="465">
        <f t="shared" si="24"/>
        <v>133.33707651313284</v>
      </c>
      <c r="F229" s="449">
        <f t="shared" si="25"/>
        <v>0.13741102304133002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3.55</v>
      </c>
      <c r="D230" s="466">
        <f>IF(LN_IG3=0,0,LN_IG6/LN_IG3)</f>
        <v>3.3636363636363638</v>
      </c>
      <c r="E230" s="466">
        <f t="shared" si="24"/>
        <v>-0.18636363636363606</v>
      </c>
      <c r="F230" s="449">
        <f t="shared" si="25"/>
        <v>-5.2496798975672131E-2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981256</v>
      </c>
      <c r="D233" s="448">
        <v>1168685</v>
      </c>
      <c r="E233" s="448">
        <f>D233-C233</f>
        <v>187429</v>
      </c>
      <c r="F233" s="449">
        <f>IF(C233=0,0,E233/C233)</f>
        <v>0.19100927790505229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172831</v>
      </c>
      <c r="D234" s="448">
        <v>235554</v>
      </c>
      <c r="E234" s="448">
        <f>D234-C234</f>
        <v>62723</v>
      </c>
      <c r="F234" s="449">
        <f>IF(C234=0,0,E234/C234)</f>
        <v>0.36291521775607383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1549486</v>
      </c>
      <c r="D237" s="448">
        <f>LN_IG1+LN_IG9</f>
        <v>1766268</v>
      </c>
      <c r="E237" s="448">
        <f>D237-C237</f>
        <v>216782</v>
      </c>
      <c r="F237" s="449">
        <f>IF(C237=0,0,E237/C237)</f>
        <v>0.13990574939044303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241726</v>
      </c>
      <c r="D238" s="448">
        <f>LN_IG2+LN_IG10</f>
        <v>317227</v>
      </c>
      <c r="E238" s="448">
        <f>D238-C238</f>
        <v>75501</v>
      </c>
      <c r="F238" s="449">
        <f>IF(C238=0,0,E238/C238)</f>
        <v>0.31234124587342693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1307760</v>
      </c>
      <c r="D239" s="448">
        <f>LN_IG13-LN_IG14</f>
        <v>1449041</v>
      </c>
      <c r="E239" s="448">
        <f>D239-C239</f>
        <v>141281</v>
      </c>
      <c r="F239" s="449">
        <f>IF(C239=0,0,E239/C239)</f>
        <v>0.10803281947757998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3724703</v>
      </c>
      <c r="D243" s="448">
        <v>4728741</v>
      </c>
      <c r="E243" s="441">
        <f>D243-C243</f>
        <v>1004038</v>
      </c>
      <c r="F243" s="503">
        <f>IF(C243=0,0,E243/C243)</f>
        <v>0.26956189527057595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403987000</v>
      </c>
      <c r="D244" s="448">
        <v>409234000</v>
      </c>
      <c r="E244" s="441">
        <f>D244-C244</f>
        <v>5247000</v>
      </c>
      <c r="F244" s="503">
        <f>IF(C244=0,0,E244/C244)</f>
        <v>1.2988041694410958E-2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14777279</v>
      </c>
      <c r="D248" s="441">
        <v>19484535</v>
      </c>
      <c r="E248" s="441">
        <f>D248-C248</f>
        <v>4707256</v>
      </c>
      <c r="F248" s="449">
        <f>IF(C248=0,0,E248/C248)</f>
        <v>0.31854687185644937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30026844</v>
      </c>
      <c r="D249" s="441">
        <v>32666112</v>
      </c>
      <c r="E249" s="441">
        <f>D249-C249</f>
        <v>2639268</v>
      </c>
      <c r="F249" s="449">
        <f>IF(C249=0,0,E249/C249)</f>
        <v>8.7896949809310634E-2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44804123</v>
      </c>
      <c r="D250" s="441">
        <f>LN_IH4+LN_IH5</f>
        <v>52150647</v>
      </c>
      <c r="E250" s="441">
        <f>D250-C250</f>
        <v>7346524</v>
      </c>
      <c r="F250" s="449">
        <f>IF(C250=0,0,E250/C250)</f>
        <v>0.16396982036675509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13271390.777299404</v>
      </c>
      <c r="D251" s="441">
        <f>LN_IH6*LN_III10</f>
        <v>14820162.777333293</v>
      </c>
      <c r="E251" s="441">
        <f>D251-C251</f>
        <v>1548772.000033889</v>
      </c>
      <c r="F251" s="449">
        <f>IF(C251=0,0,E251/C251)</f>
        <v>0.1167000524679787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376222234</v>
      </c>
      <c r="D254" s="441">
        <f>LN_IF23</f>
        <v>420590203</v>
      </c>
      <c r="E254" s="441">
        <f>D254-C254</f>
        <v>44367969</v>
      </c>
      <c r="F254" s="449">
        <f>IF(C254=0,0,E254/C254)</f>
        <v>0.11793021515044218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80545712</v>
      </c>
      <c r="D255" s="441">
        <f>LN_IF24</f>
        <v>77809615</v>
      </c>
      <c r="E255" s="441">
        <f>D255-C255</f>
        <v>-2736097</v>
      </c>
      <c r="F255" s="449">
        <f>IF(C255=0,0,E255/C255)</f>
        <v>-3.396949300044675E-2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111440464.67604282</v>
      </c>
      <c r="D256" s="441">
        <f>LN_IH8*LN_III10</f>
        <v>119523258.66660205</v>
      </c>
      <c r="E256" s="441">
        <f>D256-C256</f>
        <v>8082793.9905592203</v>
      </c>
      <c r="F256" s="449">
        <f>IF(C256=0,0,E256/C256)</f>
        <v>7.2530153333942776E-2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30894752.676042825</v>
      </c>
      <c r="D257" s="441">
        <f>LN_IH10-LN_IH9</f>
        <v>41713643.666602045</v>
      </c>
      <c r="E257" s="441">
        <f>D257-C257</f>
        <v>10818890.99055922</v>
      </c>
      <c r="F257" s="449">
        <f>IF(C257=0,0,E257/C257)</f>
        <v>0.35018538921493531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766945754</v>
      </c>
      <c r="D261" s="448">
        <f>LN_IA1+LN_IB1+LN_IF1+LN_IG1</f>
        <v>790434049</v>
      </c>
      <c r="E261" s="448">
        <f t="shared" ref="E261:E274" si="26">D261-C261</f>
        <v>23488295</v>
      </c>
      <c r="F261" s="503">
        <f t="shared" ref="F261:F274" si="27">IF(C261=0,0,E261/C261)</f>
        <v>3.0625757920292235E-2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256320139</v>
      </c>
      <c r="D262" s="448">
        <f>+LN_IA2+LN_IB2+LN_IF2+LN_IG2</f>
        <v>264116252</v>
      </c>
      <c r="E262" s="448">
        <f t="shared" si="26"/>
        <v>7796113</v>
      </c>
      <c r="F262" s="503">
        <f t="shared" si="27"/>
        <v>3.0415530478469347E-2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0.33420895501821896</v>
      </c>
      <c r="D263" s="453">
        <f>IF(LN_IIA1=0,0,LN_IIA2/LN_IIA1)</f>
        <v>0.33414078294595329</v>
      </c>
      <c r="E263" s="454">
        <f t="shared" si="26"/>
        <v>-6.8172072265670902E-5</v>
      </c>
      <c r="F263" s="458">
        <f t="shared" si="27"/>
        <v>-2.0398038784434904E-4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18936</v>
      </c>
      <c r="D264" s="456">
        <f>LN_IA4+LN_IB4+LN_IF4+LN_IG3</f>
        <v>18453</v>
      </c>
      <c r="E264" s="456">
        <f t="shared" si="26"/>
        <v>-483</v>
      </c>
      <c r="F264" s="503">
        <f t="shared" si="27"/>
        <v>-2.5506970849176171E-2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1.2798160308407267</v>
      </c>
      <c r="D265" s="525">
        <f>IF(LN_IIA4=0,0,LN_IIA6/LN_IIA4)</f>
        <v>1.3120715146588631</v>
      </c>
      <c r="E265" s="525">
        <f t="shared" si="26"/>
        <v>3.2255483818136366E-2</v>
      </c>
      <c r="F265" s="503">
        <f t="shared" si="27"/>
        <v>2.5203219088408627E-2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24234.59636</v>
      </c>
      <c r="D266" s="463">
        <f>LN_IA6+LN_IB6+LN_IF6+LN_IG5</f>
        <v>24211.65566</v>
      </c>
      <c r="E266" s="463">
        <f t="shared" si="26"/>
        <v>-22.940699999999197</v>
      </c>
      <c r="F266" s="503">
        <f t="shared" si="27"/>
        <v>-9.4660953536092633E-4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623852109</v>
      </c>
      <c r="D267" s="448">
        <f>LN_IA11+LN_IB13+LN_IF14+LN_IG9</f>
        <v>722085518</v>
      </c>
      <c r="E267" s="448">
        <f t="shared" si="26"/>
        <v>98233409</v>
      </c>
      <c r="F267" s="503">
        <f t="shared" si="27"/>
        <v>0.15746265434200848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0.81342403389849138</v>
      </c>
      <c r="D268" s="453">
        <f>IF(LN_IIA1=0,0,LN_IIA7/LN_IIA1)</f>
        <v>0.91353038107800444</v>
      </c>
      <c r="E268" s="454">
        <f t="shared" si="26"/>
        <v>0.10010634717951306</v>
      </c>
      <c r="F268" s="458">
        <f t="shared" si="27"/>
        <v>0.12306785023271823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155646900</v>
      </c>
      <c r="D269" s="448">
        <f>LN_IA12+LN_IB14+LN_IF15+LN_IG10</f>
        <v>165796343</v>
      </c>
      <c r="E269" s="448">
        <f t="shared" si="26"/>
        <v>10149443</v>
      </c>
      <c r="F269" s="503">
        <f t="shared" si="27"/>
        <v>6.5208128141325011E-2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0.24949326571884684</v>
      </c>
      <c r="D270" s="453">
        <f>IF(LN_IIA7=0,0,LN_IIA9/LN_IIA7)</f>
        <v>0.22960762799843329</v>
      </c>
      <c r="E270" s="454">
        <f t="shared" si="26"/>
        <v>-1.9885637720413546E-2</v>
      </c>
      <c r="F270" s="458">
        <f t="shared" si="27"/>
        <v>-7.9704106093278715E-2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1390797863</v>
      </c>
      <c r="D271" s="441">
        <f>LN_IIA1+LN_IIA7</f>
        <v>1512519567</v>
      </c>
      <c r="E271" s="441">
        <f t="shared" si="26"/>
        <v>121721704</v>
      </c>
      <c r="F271" s="503">
        <f t="shared" si="27"/>
        <v>8.7519334935877741E-2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411967039</v>
      </c>
      <c r="D272" s="441">
        <f>LN_IIA2+LN_IIA9</f>
        <v>429912595</v>
      </c>
      <c r="E272" s="441">
        <f t="shared" si="26"/>
        <v>17945556</v>
      </c>
      <c r="F272" s="503">
        <f t="shared" si="27"/>
        <v>4.3560659715788576E-2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0.29620914006250526</v>
      </c>
      <c r="D273" s="453">
        <f>IF(LN_IIA11=0,0,LN_IIA12/LN_IIA11)</f>
        <v>0.28423605510949401</v>
      </c>
      <c r="E273" s="454">
        <f t="shared" si="26"/>
        <v>-1.1973084953011248E-2</v>
      </c>
      <c r="F273" s="458">
        <f t="shared" si="27"/>
        <v>-4.0421051661284728E-2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100830</v>
      </c>
      <c r="D274" s="508">
        <f>LN_IA8+LN_IB10+LN_IF11+LN_IG6</f>
        <v>97440</v>
      </c>
      <c r="E274" s="528">
        <f t="shared" si="26"/>
        <v>-3390</v>
      </c>
      <c r="F274" s="458">
        <f t="shared" si="27"/>
        <v>-3.3620946146980066E-2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561592147</v>
      </c>
      <c r="D277" s="448">
        <f>LN_IA1+LN_IF1+LN_IG1</f>
        <v>576792362</v>
      </c>
      <c r="E277" s="448">
        <f t="shared" ref="E277:E291" si="28">D277-C277</f>
        <v>15200215</v>
      </c>
      <c r="F277" s="503">
        <f t="shared" ref="F277:F291" si="29">IF(C277=0,0,E277/C277)</f>
        <v>2.706628837528955E-2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170315798</v>
      </c>
      <c r="D278" s="448">
        <f>LN_IA2+LN_IF2+LN_IG2</f>
        <v>170235101</v>
      </c>
      <c r="E278" s="448">
        <f t="shared" si="28"/>
        <v>-80697</v>
      </c>
      <c r="F278" s="503">
        <f t="shared" si="29"/>
        <v>-4.7380807269564035E-4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0.30327311183003419</v>
      </c>
      <c r="D279" s="453">
        <f>IF(D277=0,0,LN_IIB2/D277)</f>
        <v>0.29514104592113166</v>
      </c>
      <c r="E279" s="454">
        <f t="shared" si="28"/>
        <v>-8.1320659089025304E-3</v>
      </c>
      <c r="F279" s="458">
        <f t="shared" si="29"/>
        <v>-2.681433200533798E-2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13264</v>
      </c>
      <c r="D280" s="456">
        <f>LN_IA4+LN_IF4+LN_IG3</f>
        <v>12928</v>
      </c>
      <c r="E280" s="456">
        <f t="shared" si="28"/>
        <v>-336</v>
      </c>
      <c r="F280" s="503">
        <f t="shared" si="29"/>
        <v>-2.5331724969843185E-2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1.3064723914354641</v>
      </c>
      <c r="D281" s="525">
        <f>IF(LN_IIB4=0,0,LN_IIB6/LN_IIB4)</f>
        <v>1.3419322911509901</v>
      </c>
      <c r="E281" s="525">
        <f t="shared" si="28"/>
        <v>3.5459899715525989E-2</v>
      </c>
      <c r="F281" s="503">
        <f t="shared" si="29"/>
        <v>2.7141713784372461E-2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17329.049799999997</v>
      </c>
      <c r="D282" s="463">
        <f>LN_IA6+LN_IF6+LN_IG5</f>
        <v>17348.500660000002</v>
      </c>
      <c r="E282" s="463">
        <f t="shared" si="28"/>
        <v>19.450860000004468</v>
      </c>
      <c r="F282" s="503">
        <f t="shared" si="29"/>
        <v>1.1224423857333753E-3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354148645</v>
      </c>
      <c r="D283" s="448">
        <f>LN_IA11+LN_IF14+LN_IG9</f>
        <v>419184562</v>
      </c>
      <c r="E283" s="448">
        <f t="shared" si="28"/>
        <v>65035917</v>
      </c>
      <c r="F283" s="503">
        <f t="shared" si="29"/>
        <v>0.18364016894657326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0.63061537966983006</v>
      </c>
      <c r="D284" s="453">
        <f>IF(D277=0,0,LN_IIB7/D277)</f>
        <v>0.72675123600197744</v>
      </c>
      <c r="E284" s="454">
        <f t="shared" si="28"/>
        <v>9.6135856332147385E-2</v>
      </c>
      <c r="F284" s="458">
        <f t="shared" si="29"/>
        <v>0.15244768749928209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62625455</v>
      </c>
      <c r="D285" s="448">
        <f>LN_IA12+LN_IF15+LN_IG10</f>
        <v>67970928</v>
      </c>
      <c r="E285" s="448">
        <f t="shared" si="28"/>
        <v>5345473</v>
      </c>
      <c r="F285" s="503">
        <f t="shared" si="29"/>
        <v>8.5356234138338802E-2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0.17683381225417366</v>
      </c>
      <c r="D286" s="453">
        <f>IF(LN_IIB7=0,0,LN_IIB9/LN_IIB7)</f>
        <v>0.1621503608713529</v>
      </c>
      <c r="E286" s="454">
        <f t="shared" si="28"/>
        <v>-1.4683451382820761E-2</v>
      </c>
      <c r="F286" s="458">
        <f t="shared" si="29"/>
        <v>-8.3035315450392319E-2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915740792</v>
      </c>
      <c r="D287" s="441">
        <f>D277+LN_IIB7</f>
        <v>995976924</v>
      </c>
      <c r="E287" s="441">
        <f t="shared" si="28"/>
        <v>80236132</v>
      </c>
      <c r="F287" s="503">
        <f t="shared" si="29"/>
        <v>8.7618824782024124E-2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232941253</v>
      </c>
      <c r="D288" s="441">
        <f>LN_IIB2+LN_IIB9</f>
        <v>238206029</v>
      </c>
      <c r="E288" s="441">
        <f t="shared" si="28"/>
        <v>5264776</v>
      </c>
      <c r="F288" s="503">
        <f t="shared" si="29"/>
        <v>2.2601303685783815E-2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0.25437466042246593</v>
      </c>
      <c r="D289" s="453">
        <f>IF(LN_IIB11=0,0,LN_IIB12/LN_IIB11)</f>
        <v>0.23916822092958451</v>
      </c>
      <c r="E289" s="454">
        <f t="shared" si="28"/>
        <v>-1.5206439492881418E-2</v>
      </c>
      <c r="F289" s="458">
        <f t="shared" si="29"/>
        <v>-5.977969451684588E-2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77376</v>
      </c>
      <c r="D290" s="508">
        <f>LN_IA8+LN_IF11+LN_IG6</f>
        <v>75454</v>
      </c>
      <c r="E290" s="528">
        <f t="shared" si="28"/>
        <v>-1922</v>
      </c>
      <c r="F290" s="458">
        <f t="shared" si="29"/>
        <v>-2.4839743589743588E-2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682799539</v>
      </c>
      <c r="D291" s="516">
        <f>LN_IIB11-LN_IIB12</f>
        <v>757770895</v>
      </c>
      <c r="E291" s="441">
        <f t="shared" si="28"/>
        <v>74971356</v>
      </c>
      <c r="F291" s="503">
        <f t="shared" si="29"/>
        <v>0.10979995110980882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6.9814049586776861</v>
      </c>
      <c r="D294" s="466">
        <f>IF(LN_IA4=0,0,LN_IA8/LN_IA4)</f>
        <v>6.9151327806660108</v>
      </c>
      <c r="E294" s="466">
        <f t="shared" ref="E294:E300" si="30">D294-C294</f>
        <v>-6.6272178011675287E-2</v>
      </c>
      <c r="F294" s="503">
        <f t="shared" ref="F294:F300" si="31">IF(C294=0,0,E294/C294)</f>
        <v>-9.4926706592633435E-3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4.1350493653032441</v>
      </c>
      <c r="D295" s="466">
        <f>IF(LN_IB4=0,0,(LN_IB10)/(LN_IB4))</f>
        <v>3.9793665158371039</v>
      </c>
      <c r="E295" s="466">
        <f t="shared" si="30"/>
        <v>-0.15568284946614019</v>
      </c>
      <c r="F295" s="503">
        <f t="shared" si="31"/>
        <v>-3.7649574578832917E-2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4.5</v>
      </c>
      <c r="D296" s="466">
        <f>IF(LN_IC4=0,0,LN_IC11/LN_IC4)</f>
        <v>3.9568106312292359</v>
      </c>
      <c r="E296" s="466">
        <f t="shared" si="30"/>
        <v>-0.54318936877076407</v>
      </c>
      <c r="F296" s="503">
        <f t="shared" si="31"/>
        <v>-0.12070874861572535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4.4485294117647056</v>
      </c>
      <c r="D297" s="466">
        <f>IF(LN_ID4=0,0,LN_ID11/LN_ID4)</f>
        <v>4.5197788910001728</v>
      </c>
      <c r="E297" s="466">
        <f t="shared" si="30"/>
        <v>7.1249479235467206E-2</v>
      </c>
      <c r="F297" s="503">
        <f t="shared" si="31"/>
        <v>1.6016411861195935E-2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3.55</v>
      </c>
      <c r="D299" s="466">
        <f>IF(LN_IG3=0,0,LN_IG6/LN_IG3)</f>
        <v>3.3636363636363638</v>
      </c>
      <c r="E299" s="466">
        <f t="shared" si="30"/>
        <v>-0.18636363636363606</v>
      </c>
      <c r="F299" s="503">
        <f t="shared" si="31"/>
        <v>-5.2496798975672131E-2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5.3247782002534851</v>
      </c>
      <c r="D300" s="466">
        <f>IF(LN_IIA4=0,0,LN_IIA14/LN_IIA4)</f>
        <v>5.2804422045195905</v>
      </c>
      <c r="E300" s="466">
        <f t="shared" si="30"/>
        <v>-4.4335995733894684E-2</v>
      </c>
      <c r="F300" s="503">
        <f t="shared" si="31"/>
        <v>-8.3263554023309504E-3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1390797863</v>
      </c>
      <c r="D304" s="441">
        <f>LN_IIA11</f>
        <v>1512519567</v>
      </c>
      <c r="E304" s="441">
        <f t="shared" ref="E304:E316" si="32">D304-C304</f>
        <v>121721704</v>
      </c>
      <c r="F304" s="449">
        <f>IF(C304=0,0,E304/C304)</f>
        <v>8.7519334935877741E-2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682799539</v>
      </c>
      <c r="D305" s="441">
        <f>LN_IIB14</f>
        <v>757770895</v>
      </c>
      <c r="E305" s="441">
        <f t="shared" si="32"/>
        <v>74971356</v>
      </c>
      <c r="F305" s="449">
        <f>IF(C305=0,0,E305/C305)</f>
        <v>0.10979995110980882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44804123</v>
      </c>
      <c r="D306" s="441">
        <f>LN_IH6</f>
        <v>52150647</v>
      </c>
      <c r="E306" s="441">
        <f t="shared" si="32"/>
        <v>7346524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250063405</v>
      </c>
      <c r="D307" s="441">
        <f>LN_IB32-LN_IB33</f>
        <v>271322158</v>
      </c>
      <c r="E307" s="441">
        <f t="shared" si="32"/>
        <v>21258753</v>
      </c>
      <c r="F307" s="449">
        <f t="shared" ref="F307:F316" si="33">IF(C307=0,0,E307/C307)</f>
        <v>8.501345088858564E-2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1163756</v>
      </c>
      <c r="D308" s="441">
        <v>1448291</v>
      </c>
      <c r="E308" s="441">
        <f t="shared" si="32"/>
        <v>284535</v>
      </c>
      <c r="F308" s="449">
        <f t="shared" si="33"/>
        <v>0.24449712826400036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978830823</v>
      </c>
      <c r="D309" s="441">
        <f>LN_III2+LN_III3+LN_III4+LN_III5</f>
        <v>1082691991</v>
      </c>
      <c r="E309" s="441">
        <f t="shared" si="32"/>
        <v>103861168</v>
      </c>
      <c r="F309" s="449">
        <f t="shared" si="33"/>
        <v>0.10610737377647946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411967040</v>
      </c>
      <c r="D310" s="441">
        <f>LN_III1-LN_III6</f>
        <v>429827576</v>
      </c>
      <c r="E310" s="441">
        <f t="shared" si="32"/>
        <v>17860536</v>
      </c>
      <c r="F310" s="449">
        <f t="shared" si="33"/>
        <v>4.335428387669072E-2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411967040</v>
      </c>
      <c r="D312" s="441">
        <f>LN_III7+LN_III8</f>
        <v>429827576</v>
      </c>
      <c r="E312" s="441">
        <f t="shared" si="32"/>
        <v>17860536</v>
      </c>
      <c r="F312" s="449">
        <f t="shared" si="33"/>
        <v>4.335428387669072E-2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0.296209140781517</v>
      </c>
      <c r="D313" s="532">
        <f>IF(LN_III1=0,0,LN_III9/LN_III1)</f>
        <v>0.2841798449275863</v>
      </c>
      <c r="E313" s="532">
        <f t="shared" si="32"/>
        <v>-1.2029295853930699E-2</v>
      </c>
      <c r="F313" s="449">
        <f t="shared" si="33"/>
        <v>-4.0610819173887251E-2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13271390.777299404</v>
      </c>
      <c r="D314" s="441">
        <f>D313*LN_III5</f>
        <v>14820162.777333293</v>
      </c>
      <c r="E314" s="441">
        <f t="shared" si="32"/>
        <v>1548772.000033889</v>
      </c>
      <c r="F314" s="449">
        <f t="shared" si="33"/>
        <v>0.1167000524679787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30894752.676042825</v>
      </c>
      <c r="D315" s="441">
        <f>D313*LN_IH8-LN_IH9</f>
        <v>41713643.666602045</v>
      </c>
      <c r="E315" s="441">
        <f t="shared" si="32"/>
        <v>10818890.99055922</v>
      </c>
      <c r="F315" s="449">
        <f t="shared" si="33"/>
        <v>0.35018538921493531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44166143.453342229</v>
      </c>
      <c r="D318" s="441">
        <f>D314+D315+D316</f>
        <v>56533806.443935335</v>
      </c>
      <c r="E318" s="441">
        <f>D318-C318</f>
        <v>12367662.990593106</v>
      </c>
      <c r="F318" s="449">
        <f>IF(C318=0,0,E318/C318)</f>
        <v>0.28002587555914837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28538433.111580774</v>
      </c>
      <c r="D322" s="441">
        <f>LN_ID22</f>
        <v>27721283.734329537</v>
      </c>
      <c r="E322" s="441">
        <f>LN_IV2-C322</f>
        <v>-817149.37725123763</v>
      </c>
      <c r="F322" s="449">
        <f>IF(C322=0,0,E322/C322)</f>
        <v>-2.8633295109661852E-2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9220077.670901617</v>
      </c>
      <c r="D324" s="441">
        <f>LN_IC10+LN_IC22</f>
        <v>7492531.0954990536</v>
      </c>
      <c r="E324" s="441">
        <f>LN_IV1-C324</f>
        <v>-1727546.5754025634</v>
      </c>
      <c r="F324" s="449">
        <f>IF(C324=0,0,E324/C324)</f>
        <v>-0.1873678983046603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37758510.782482393</v>
      </c>
      <c r="D325" s="516">
        <f>LN_IV1+LN_IV2+LN_IV3</f>
        <v>35213814.82982859</v>
      </c>
      <c r="E325" s="441">
        <f>LN_IV4-C325</f>
        <v>-2544695.9526538029</v>
      </c>
      <c r="F325" s="449">
        <f>IF(C325=0,0,E325/C325)</f>
        <v>-6.7393970257809632E-2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1668294</v>
      </c>
      <c r="D329" s="518">
        <v>2030733</v>
      </c>
      <c r="E329" s="518">
        <f t="shared" ref="E329:E335" si="34">D329-C329</f>
        <v>362439</v>
      </c>
      <c r="F329" s="542">
        <f t="shared" ref="F329:F335" si="35">IF(C329=0,0,E329/C329)</f>
        <v>0.21725127585425591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8648960</v>
      </c>
      <c r="D330" s="516">
        <v>-11085595</v>
      </c>
      <c r="E330" s="518">
        <f t="shared" si="34"/>
        <v>-19734555</v>
      </c>
      <c r="F330" s="543">
        <f t="shared" si="35"/>
        <v>-2.281725779746929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420616000</v>
      </c>
      <c r="D331" s="516">
        <v>418827000</v>
      </c>
      <c r="E331" s="518">
        <f t="shared" si="34"/>
        <v>-1789000</v>
      </c>
      <c r="F331" s="542">
        <f t="shared" si="35"/>
        <v>-4.2532856572265439E-3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1390797862</v>
      </c>
      <c r="D333" s="516">
        <v>1512519566</v>
      </c>
      <c r="E333" s="518">
        <f t="shared" si="34"/>
        <v>121721704</v>
      </c>
      <c r="F333" s="542">
        <f t="shared" si="35"/>
        <v>8.7519334998805168E-2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44804123</v>
      </c>
      <c r="D335" s="516">
        <v>52150647</v>
      </c>
      <c r="E335" s="516">
        <f t="shared" si="34"/>
        <v>7346524</v>
      </c>
      <c r="F335" s="542">
        <f t="shared" si="35"/>
        <v>0.16396982036675509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E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205353607</v>
      </c>
      <c r="D14" s="589">
        <v>213641687</v>
      </c>
      <c r="E14" s="590">
        <f t="shared" ref="E14:E22" si="0">D14-C14</f>
        <v>8288080</v>
      </c>
    </row>
    <row r="15" spans="1:5" s="421" customFormat="1" x14ac:dyDescent="0.2">
      <c r="A15" s="588">
        <v>2</v>
      </c>
      <c r="B15" s="587" t="s">
        <v>635</v>
      </c>
      <c r="C15" s="589">
        <v>374698707</v>
      </c>
      <c r="D15" s="591">
        <v>378190000</v>
      </c>
      <c r="E15" s="590">
        <f t="shared" si="0"/>
        <v>3491293</v>
      </c>
    </row>
    <row r="16" spans="1:5" s="421" customFormat="1" x14ac:dyDescent="0.2">
      <c r="A16" s="588">
        <v>3</v>
      </c>
      <c r="B16" s="587" t="s">
        <v>777</v>
      </c>
      <c r="C16" s="589">
        <v>186325210</v>
      </c>
      <c r="D16" s="591">
        <v>198004779</v>
      </c>
      <c r="E16" s="590">
        <f t="shared" si="0"/>
        <v>11679569</v>
      </c>
    </row>
    <row r="17" spans="1:5" s="421" customFormat="1" x14ac:dyDescent="0.2">
      <c r="A17" s="588">
        <v>4</v>
      </c>
      <c r="B17" s="587" t="s">
        <v>115</v>
      </c>
      <c r="C17" s="589">
        <v>186325210</v>
      </c>
      <c r="D17" s="591">
        <v>198004779</v>
      </c>
      <c r="E17" s="590">
        <f t="shared" si="0"/>
        <v>11679569</v>
      </c>
    </row>
    <row r="18" spans="1:5" s="421" customFormat="1" x14ac:dyDescent="0.2">
      <c r="A18" s="588">
        <v>5</v>
      </c>
      <c r="B18" s="587" t="s">
        <v>743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568230</v>
      </c>
      <c r="D19" s="591">
        <v>597583</v>
      </c>
      <c r="E19" s="590">
        <f t="shared" si="0"/>
        <v>29353</v>
      </c>
    </row>
    <row r="20" spans="1:5" s="421" customFormat="1" x14ac:dyDescent="0.2">
      <c r="A20" s="588">
        <v>7</v>
      </c>
      <c r="B20" s="587" t="s">
        <v>758</v>
      </c>
      <c r="C20" s="589">
        <v>10522802</v>
      </c>
      <c r="D20" s="591">
        <v>12095054</v>
      </c>
      <c r="E20" s="590">
        <f t="shared" si="0"/>
        <v>1572252</v>
      </c>
    </row>
    <row r="21" spans="1:5" s="421" customFormat="1" x14ac:dyDescent="0.2">
      <c r="A21" s="588"/>
      <c r="B21" s="592" t="s">
        <v>778</v>
      </c>
      <c r="C21" s="593">
        <f>SUM(C15+C16+C19)</f>
        <v>561592147</v>
      </c>
      <c r="D21" s="593">
        <f>SUM(D15+D16+D19)</f>
        <v>576792362</v>
      </c>
      <c r="E21" s="593">
        <f t="shared" si="0"/>
        <v>15200215</v>
      </c>
    </row>
    <row r="22" spans="1:5" s="421" customFormat="1" x14ac:dyDescent="0.2">
      <c r="A22" s="588"/>
      <c r="B22" s="592" t="s">
        <v>465</v>
      </c>
      <c r="C22" s="593">
        <f>SUM(C14+C21)</f>
        <v>766945754</v>
      </c>
      <c r="D22" s="593">
        <f>SUM(D14+D21)</f>
        <v>790434049</v>
      </c>
      <c r="E22" s="593">
        <f t="shared" si="0"/>
        <v>23488295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269703464</v>
      </c>
      <c r="D25" s="589">
        <v>302900956</v>
      </c>
      <c r="E25" s="590">
        <f t="shared" ref="E25:E33" si="1">D25-C25</f>
        <v>33197492</v>
      </c>
    </row>
    <row r="26" spans="1:5" s="421" customFormat="1" x14ac:dyDescent="0.2">
      <c r="A26" s="588">
        <v>2</v>
      </c>
      <c r="B26" s="587" t="s">
        <v>635</v>
      </c>
      <c r="C26" s="589">
        <v>163270365</v>
      </c>
      <c r="D26" s="591">
        <v>195430453</v>
      </c>
      <c r="E26" s="590">
        <f t="shared" si="1"/>
        <v>32160088</v>
      </c>
    </row>
    <row r="27" spans="1:5" s="421" customFormat="1" x14ac:dyDescent="0.2">
      <c r="A27" s="588">
        <v>3</v>
      </c>
      <c r="B27" s="587" t="s">
        <v>777</v>
      </c>
      <c r="C27" s="589">
        <v>189897024</v>
      </c>
      <c r="D27" s="591">
        <v>222585424</v>
      </c>
      <c r="E27" s="590">
        <f t="shared" si="1"/>
        <v>32688400</v>
      </c>
    </row>
    <row r="28" spans="1:5" s="421" customFormat="1" x14ac:dyDescent="0.2">
      <c r="A28" s="588">
        <v>4</v>
      </c>
      <c r="B28" s="587" t="s">
        <v>115</v>
      </c>
      <c r="C28" s="589">
        <v>189897024</v>
      </c>
      <c r="D28" s="591">
        <v>222585424</v>
      </c>
      <c r="E28" s="590">
        <f t="shared" si="1"/>
        <v>32688400</v>
      </c>
    </row>
    <row r="29" spans="1:5" s="421" customFormat="1" x14ac:dyDescent="0.2">
      <c r="A29" s="588">
        <v>5</v>
      </c>
      <c r="B29" s="587" t="s">
        <v>743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981256</v>
      </c>
      <c r="D30" s="591">
        <v>1168685</v>
      </c>
      <c r="E30" s="590">
        <f t="shared" si="1"/>
        <v>187429</v>
      </c>
    </row>
    <row r="31" spans="1:5" s="421" customFormat="1" x14ac:dyDescent="0.2">
      <c r="A31" s="588">
        <v>7</v>
      </c>
      <c r="B31" s="587" t="s">
        <v>758</v>
      </c>
      <c r="C31" s="590">
        <v>36993422</v>
      </c>
      <c r="D31" s="594">
        <v>40109711</v>
      </c>
      <c r="E31" s="590">
        <f t="shared" si="1"/>
        <v>3116289</v>
      </c>
    </row>
    <row r="32" spans="1:5" s="421" customFormat="1" x14ac:dyDescent="0.2">
      <c r="A32" s="588"/>
      <c r="B32" s="592" t="s">
        <v>780</v>
      </c>
      <c r="C32" s="593">
        <f>SUM(C26+C27+C30)</f>
        <v>354148645</v>
      </c>
      <c r="D32" s="593">
        <f>SUM(D26+D27+D30)</f>
        <v>419184562</v>
      </c>
      <c r="E32" s="593">
        <f t="shared" si="1"/>
        <v>65035917</v>
      </c>
    </row>
    <row r="33" spans="1:5" s="421" customFormat="1" x14ac:dyDescent="0.2">
      <c r="A33" s="588"/>
      <c r="B33" s="592" t="s">
        <v>467</v>
      </c>
      <c r="C33" s="593">
        <f>SUM(C25+C32)</f>
        <v>623852109</v>
      </c>
      <c r="D33" s="593">
        <f>SUM(D25+D32)</f>
        <v>722085518</v>
      </c>
      <c r="E33" s="593">
        <f t="shared" si="1"/>
        <v>98233409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475057071</v>
      </c>
      <c r="D36" s="590">
        <f t="shared" si="2"/>
        <v>516542643</v>
      </c>
      <c r="E36" s="590">
        <f t="shared" ref="E36:E44" si="3">D36-C36</f>
        <v>41485572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537969072</v>
      </c>
      <c r="D37" s="590">
        <f t="shared" si="2"/>
        <v>573620453</v>
      </c>
      <c r="E37" s="590">
        <f t="shared" si="3"/>
        <v>35651381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376222234</v>
      </c>
      <c r="D38" s="590">
        <f t="shared" si="2"/>
        <v>420590203</v>
      </c>
      <c r="E38" s="590">
        <f t="shared" si="3"/>
        <v>44367969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376222234</v>
      </c>
      <c r="D39" s="590">
        <f t="shared" si="2"/>
        <v>420590203</v>
      </c>
      <c r="E39" s="590">
        <f t="shared" si="3"/>
        <v>44367969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1549486</v>
      </c>
      <c r="D41" s="590">
        <f t="shared" si="2"/>
        <v>1766268</v>
      </c>
      <c r="E41" s="590">
        <f t="shared" si="3"/>
        <v>216782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47516224</v>
      </c>
      <c r="D42" s="590">
        <f t="shared" si="2"/>
        <v>52204765</v>
      </c>
      <c r="E42" s="590">
        <f t="shared" si="3"/>
        <v>4688541</v>
      </c>
    </row>
    <row r="43" spans="1:5" s="421" customFormat="1" x14ac:dyDescent="0.2">
      <c r="A43" s="588"/>
      <c r="B43" s="592" t="s">
        <v>788</v>
      </c>
      <c r="C43" s="593">
        <f>SUM(C37+C38+C41)</f>
        <v>915740792</v>
      </c>
      <c r="D43" s="593">
        <f>SUM(D37+D38+D41)</f>
        <v>995976924</v>
      </c>
      <c r="E43" s="593">
        <f t="shared" si="3"/>
        <v>80236132</v>
      </c>
    </row>
    <row r="44" spans="1:5" s="421" customFormat="1" x14ac:dyDescent="0.2">
      <c r="A44" s="588"/>
      <c r="B44" s="592" t="s">
        <v>725</v>
      </c>
      <c r="C44" s="593">
        <f>SUM(C36+C43)</f>
        <v>1390797863</v>
      </c>
      <c r="D44" s="593">
        <f>SUM(D36+D43)</f>
        <v>1512519567</v>
      </c>
      <c r="E44" s="593">
        <f t="shared" si="3"/>
        <v>121721704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86004341</v>
      </c>
      <c r="D47" s="589">
        <v>93881151</v>
      </c>
      <c r="E47" s="590">
        <f t="shared" ref="E47:E55" si="4">D47-C47</f>
        <v>7876810</v>
      </c>
    </row>
    <row r="48" spans="1:5" s="421" customFormat="1" x14ac:dyDescent="0.2">
      <c r="A48" s="588">
        <v>2</v>
      </c>
      <c r="B48" s="587" t="s">
        <v>635</v>
      </c>
      <c r="C48" s="589">
        <v>121076188</v>
      </c>
      <c r="D48" s="591">
        <v>125611818</v>
      </c>
      <c r="E48" s="590">
        <f t="shared" si="4"/>
        <v>4535630</v>
      </c>
    </row>
    <row r="49" spans="1:5" s="421" customFormat="1" x14ac:dyDescent="0.2">
      <c r="A49" s="588">
        <v>3</v>
      </c>
      <c r="B49" s="587" t="s">
        <v>777</v>
      </c>
      <c r="C49" s="589">
        <v>49170715</v>
      </c>
      <c r="D49" s="591">
        <v>44541610</v>
      </c>
      <c r="E49" s="590">
        <f t="shared" si="4"/>
        <v>-4629105</v>
      </c>
    </row>
    <row r="50" spans="1:5" s="421" customFormat="1" x14ac:dyDescent="0.2">
      <c r="A50" s="588">
        <v>4</v>
      </c>
      <c r="B50" s="587" t="s">
        <v>115</v>
      </c>
      <c r="C50" s="589">
        <v>49170715</v>
      </c>
      <c r="D50" s="591">
        <v>44541610</v>
      </c>
      <c r="E50" s="590">
        <f t="shared" si="4"/>
        <v>-4629105</v>
      </c>
    </row>
    <row r="51" spans="1:5" s="421" customFormat="1" x14ac:dyDescent="0.2">
      <c r="A51" s="588">
        <v>5</v>
      </c>
      <c r="B51" s="587" t="s">
        <v>743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68895</v>
      </c>
      <c r="D52" s="591">
        <v>81673</v>
      </c>
      <c r="E52" s="590">
        <f t="shared" si="4"/>
        <v>12778</v>
      </c>
    </row>
    <row r="53" spans="1:5" s="421" customFormat="1" x14ac:dyDescent="0.2">
      <c r="A53" s="588">
        <v>7</v>
      </c>
      <c r="B53" s="587" t="s">
        <v>758</v>
      </c>
      <c r="C53" s="589">
        <v>1360781</v>
      </c>
      <c r="D53" s="591">
        <v>2401935</v>
      </c>
      <c r="E53" s="590">
        <f t="shared" si="4"/>
        <v>1041154</v>
      </c>
    </row>
    <row r="54" spans="1:5" s="421" customFormat="1" x14ac:dyDescent="0.2">
      <c r="A54" s="588"/>
      <c r="B54" s="592" t="s">
        <v>790</v>
      </c>
      <c r="C54" s="593">
        <f>SUM(C48+C49+C52)</f>
        <v>170315798</v>
      </c>
      <c r="D54" s="593">
        <f>SUM(D48+D49+D52)</f>
        <v>170235101</v>
      </c>
      <c r="E54" s="593">
        <f t="shared" si="4"/>
        <v>-80697</v>
      </c>
    </row>
    <row r="55" spans="1:5" s="421" customFormat="1" x14ac:dyDescent="0.2">
      <c r="A55" s="588"/>
      <c r="B55" s="592" t="s">
        <v>466</v>
      </c>
      <c r="C55" s="593">
        <f>SUM(C47+C54)</f>
        <v>256320139</v>
      </c>
      <c r="D55" s="593">
        <f>SUM(D47+D54)</f>
        <v>264116252</v>
      </c>
      <c r="E55" s="593">
        <f t="shared" si="4"/>
        <v>7796113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93021445</v>
      </c>
      <c r="D58" s="589">
        <v>97825415</v>
      </c>
      <c r="E58" s="590">
        <f t="shared" ref="E58:E66" si="5">D58-C58</f>
        <v>4803970</v>
      </c>
    </row>
    <row r="59" spans="1:5" s="421" customFormat="1" x14ac:dyDescent="0.2">
      <c r="A59" s="588">
        <v>2</v>
      </c>
      <c r="B59" s="587" t="s">
        <v>635</v>
      </c>
      <c r="C59" s="589">
        <v>31077627</v>
      </c>
      <c r="D59" s="591">
        <v>34467369</v>
      </c>
      <c r="E59" s="590">
        <f t="shared" si="5"/>
        <v>3389742</v>
      </c>
    </row>
    <row r="60" spans="1:5" s="421" customFormat="1" x14ac:dyDescent="0.2">
      <c r="A60" s="588">
        <v>3</v>
      </c>
      <c r="B60" s="587" t="s">
        <v>777</v>
      </c>
      <c r="C60" s="589">
        <f>C61+C62</f>
        <v>31374997</v>
      </c>
      <c r="D60" s="591">
        <f>D61+D62</f>
        <v>33268005</v>
      </c>
      <c r="E60" s="590">
        <f t="shared" si="5"/>
        <v>1893008</v>
      </c>
    </row>
    <row r="61" spans="1:5" s="421" customFormat="1" x14ac:dyDescent="0.2">
      <c r="A61" s="588">
        <v>4</v>
      </c>
      <c r="B61" s="587" t="s">
        <v>115</v>
      </c>
      <c r="C61" s="589">
        <v>31374997</v>
      </c>
      <c r="D61" s="591">
        <v>33268005</v>
      </c>
      <c r="E61" s="590">
        <f t="shared" si="5"/>
        <v>1893008</v>
      </c>
    </row>
    <row r="62" spans="1:5" s="421" customFormat="1" x14ac:dyDescent="0.2">
      <c r="A62" s="588">
        <v>5</v>
      </c>
      <c r="B62" s="587" t="s">
        <v>743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172831</v>
      </c>
      <c r="D63" s="591">
        <v>235554</v>
      </c>
      <c r="E63" s="590">
        <f t="shared" si="5"/>
        <v>62723</v>
      </c>
    </row>
    <row r="64" spans="1:5" s="421" customFormat="1" x14ac:dyDescent="0.2">
      <c r="A64" s="588">
        <v>7</v>
      </c>
      <c r="B64" s="587" t="s">
        <v>758</v>
      </c>
      <c r="C64" s="589">
        <v>3002200</v>
      </c>
      <c r="D64" s="591">
        <v>3308858</v>
      </c>
      <c r="E64" s="590">
        <f t="shared" si="5"/>
        <v>306658</v>
      </c>
    </row>
    <row r="65" spans="1:5" s="421" customFormat="1" x14ac:dyDescent="0.2">
      <c r="A65" s="588"/>
      <c r="B65" s="592" t="s">
        <v>792</v>
      </c>
      <c r="C65" s="593">
        <f>SUM(C59+C60+C63)</f>
        <v>62625455</v>
      </c>
      <c r="D65" s="593">
        <f>SUM(D59+D60+D63)</f>
        <v>67970928</v>
      </c>
      <c r="E65" s="593">
        <f t="shared" si="5"/>
        <v>5345473</v>
      </c>
    </row>
    <row r="66" spans="1:5" s="421" customFormat="1" x14ac:dyDescent="0.2">
      <c r="A66" s="588"/>
      <c r="B66" s="592" t="s">
        <v>468</v>
      </c>
      <c r="C66" s="593">
        <f>SUM(C58+C65)</f>
        <v>155646900</v>
      </c>
      <c r="D66" s="593">
        <f>SUM(D58+D65)</f>
        <v>165796343</v>
      </c>
      <c r="E66" s="593">
        <f t="shared" si="5"/>
        <v>10149443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179025786</v>
      </c>
      <c r="D69" s="590">
        <f t="shared" si="6"/>
        <v>191706566</v>
      </c>
      <c r="E69" s="590">
        <f t="shared" ref="E69:E77" si="7">D69-C69</f>
        <v>12680780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152153815</v>
      </c>
      <c r="D70" s="590">
        <f t="shared" si="6"/>
        <v>160079187</v>
      </c>
      <c r="E70" s="590">
        <f t="shared" si="7"/>
        <v>7925372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80545712</v>
      </c>
      <c r="D71" s="590">
        <f t="shared" si="6"/>
        <v>77809615</v>
      </c>
      <c r="E71" s="590">
        <f t="shared" si="7"/>
        <v>-2736097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80545712</v>
      </c>
      <c r="D72" s="590">
        <f t="shared" si="6"/>
        <v>77809615</v>
      </c>
      <c r="E72" s="590">
        <f t="shared" si="7"/>
        <v>-2736097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241726</v>
      </c>
      <c r="D74" s="590">
        <f t="shared" si="6"/>
        <v>317227</v>
      </c>
      <c r="E74" s="590">
        <f t="shared" si="7"/>
        <v>75501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4362981</v>
      </c>
      <c r="D75" s="590">
        <f t="shared" si="6"/>
        <v>5710793</v>
      </c>
      <c r="E75" s="590">
        <f t="shared" si="7"/>
        <v>1347812</v>
      </c>
    </row>
    <row r="76" spans="1:5" s="421" customFormat="1" x14ac:dyDescent="0.2">
      <c r="A76" s="588"/>
      <c r="B76" s="592" t="s">
        <v>793</v>
      </c>
      <c r="C76" s="593">
        <f>SUM(C70+C71+C74)</f>
        <v>232941253</v>
      </c>
      <c r="D76" s="593">
        <f>SUM(D70+D71+D74)</f>
        <v>238206029</v>
      </c>
      <c r="E76" s="593">
        <f t="shared" si="7"/>
        <v>5264776</v>
      </c>
    </row>
    <row r="77" spans="1:5" s="421" customFormat="1" x14ac:dyDescent="0.2">
      <c r="A77" s="588"/>
      <c r="B77" s="592" t="s">
        <v>726</v>
      </c>
      <c r="C77" s="593">
        <f>SUM(C69+C76)</f>
        <v>411967039</v>
      </c>
      <c r="D77" s="593">
        <f>SUM(D69+D76)</f>
        <v>429912595</v>
      </c>
      <c r="E77" s="593">
        <f t="shared" si="7"/>
        <v>17945556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0.14765165554471377</v>
      </c>
      <c r="D83" s="599">
        <f t="shared" si="8"/>
        <v>0.14124887483191151</v>
      </c>
      <c r="E83" s="599">
        <f t="shared" ref="E83:E91" si="9">D83-C83</f>
        <v>-6.4027807128022585E-3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0.26941277159555138</v>
      </c>
      <c r="D84" s="599">
        <f t="shared" si="8"/>
        <v>0.25003974047761857</v>
      </c>
      <c r="E84" s="599">
        <f t="shared" si="9"/>
        <v>-1.9373031117932815E-2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0.13397001459154528</v>
      </c>
      <c r="D85" s="599">
        <f t="shared" si="8"/>
        <v>0.13091055700702878</v>
      </c>
      <c r="E85" s="599">
        <f t="shared" si="9"/>
        <v>-3.0594575845165062E-3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0.13397001459154528</v>
      </c>
      <c r="D86" s="599">
        <f t="shared" si="8"/>
        <v>0.13091055700702878</v>
      </c>
      <c r="E86" s="599">
        <f t="shared" si="9"/>
        <v>-3.0594575845165062E-3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4.0856404450773879E-4</v>
      </c>
      <c r="D88" s="599">
        <f t="shared" si="8"/>
        <v>3.9509108710922215E-4</v>
      </c>
      <c r="E88" s="599">
        <f t="shared" si="9"/>
        <v>-1.3472957398516635E-5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7.5660182402796806E-3</v>
      </c>
      <c r="D89" s="599">
        <f t="shared" si="8"/>
        <v>7.9966264661222725E-3</v>
      </c>
      <c r="E89" s="599">
        <f t="shared" si="9"/>
        <v>4.3060822584259188E-4</v>
      </c>
    </row>
    <row r="90" spans="1:5" s="421" customFormat="1" x14ac:dyDescent="0.2">
      <c r="A90" s="588"/>
      <c r="B90" s="592" t="s">
        <v>796</v>
      </c>
      <c r="C90" s="600">
        <f>SUM(C84+C85+C88)</f>
        <v>0.4037913502316044</v>
      </c>
      <c r="D90" s="600">
        <f>SUM(D84+D85+D88)</f>
        <v>0.38134538857175659</v>
      </c>
      <c r="E90" s="601">
        <f t="shared" si="9"/>
        <v>-2.2445961659847802E-2</v>
      </c>
    </row>
    <row r="91" spans="1:5" s="421" customFormat="1" x14ac:dyDescent="0.2">
      <c r="A91" s="588"/>
      <c r="B91" s="592" t="s">
        <v>797</v>
      </c>
      <c r="C91" s="600">
        <f>SUM(C83+C90)</f>
        <v>0.55144300577631822</v>
      </c>
      <c r="D91" s="600">
        <f>SUM(D83+D90)</f>
        <v>0.5225942634036681</v>
      </c>
      <c r="E91" s="601">
        <f t="shared" si="9"/>
        <v>-2.8848742372650116E-2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0.19391995858998526</v>
      </c>
      <c r="D95" s="599">
        <f t="shared" si="10"/>
        <v>0.20026250410815347</v>
      </c>
      <c r="E95" s="599">
        <f t="shared" ref="E95:E103" si="11">D95-C95</f>
        <v>6.3425455181682078E-3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0.11739331023116477</v>
      </c>
      <c r="D96" s="599">
        <f t="shared" si="10"/>
        <v>0.12920854530670678</v>
      </c>
      <c r="E96" s="599">
        <f t="shared" si="11"/>
        <v>1.181523507554201E-2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0.13653819081256383</v>
      </c>
      <c r="D97" s="599">
        <f t="shared" si="10"/>
        <v>0.14716201287992992</v>
      </c>
      <c r="E97" s="599">
        <f t="shared" si="11"/>
        <v>1.062382206736609E-2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0.13653819081256383</v>
      </c>
      <c r="D98" s="599">
        <f t="shared" si="10"/>
        <v>0.14716201287992992</v>
      </c>
      <c r="E98" s="599">
        <f t="shared" si="11"/>
        <v>1.062382206736609E-2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7.0553458996794566E-4</v>
      </c>
      <c r="D100" s="599">
        <f t="shared" si="10"/>
        <v>7.7267430154177961E-4</v>
      </c>
      <c r="E100" s="599">
        <f t="shared" si="11"/>
        <v>6.7139711573833949E-5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2.6598704947823175E-2</v>
      </c>
      <c r="D101" s="599">
        <f t="shared" si="10"/>
        <v>2.6518474124308633E-2</v>
      </c>
      <c r="E101" s="599">
        <f t="shared" si="11"/>
        <v>-8.023082351454186E-5</v>
      </c>
    </row>
    <row r="102" spans="1:5" s="421" customFormat="1" x14ac:dyDescent="0.2">
      <c r="A102" s="588"/>
      <c r="B102" s="592" t="s">
        <v>799</v>
      </c>
      <c r="C102" s="600">
        <f>SUM(C96+C97+C100)</f>
        <v>0.25463703563369655</v>
      </c>
      <c r="D102" s="600">
        <f>SUM(D96+D97+D100)</f>
        <v>0.27714323248817846</v>
      </c>
      <c r="E102" s="601">
        <f t="shared" si="11"/>
        <v>2.2506196854481908E-2</v>
      </c>
    </row>
    <row r="103" spans="1:5" s="421" customFormat="1" x14ac:dyDescent="0.2">
      <c r="A103" s="588"/>
      <c r="B103" s="592" t="s">
        <v>800</v>
      </c>
      <c r="C103" s="600">
        <f>SUM(C95+C102)</f>
        <v>0.44855699422368178</v>
      </c>
      <c r="D103" s="600">
        <f>SUM(D95+D102)</f>
        <v>0.4774057365963319</v>
      </c>
      <c r="E103" s="601">
        <f t="shared" si="11"/>
        <v>2.8848742372650116E-2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0.20876510220032432</v>
      </c>
      <c r="D109" s="599">
        <f t="shared" si="12"/>
        <v>0.21837264618869795</v>
      </c>
      <c r="E109" s="599">
        <f t="shared" ref="E109:E117" si="13">D109-C109</f>
        <v>9.6075439883736291E-3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0.29389775525221085</v>
      </c>
      <c r="D110" s="599">
        <f t="shared" si="12"/>
        <v>0.29217989763709995</v>
      </c>
      <c r="E110" s="599">
        <f t="shared" si="13"/>
        <v>-1.717857615110896E-3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0.11935594439631857</v>
      </c>
      <c r="D111" s="599">
        <f t="shared" si="12"/>
        <v>0.10360619930197672</v>
      </c>
      <c r="E111" s="599">
        <f t="shared" si="13"/>
        <v>-1.5749745094341849E-2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0.11935594439631857</v>
      </c>
      <c r="D112" s="599">
        <f t="shared" si="12"/>
        <v>0.10360619930197672</v>
      </c>
      <c r="E112" s="599">
        <f t="shared" si="13"/>
        <v>-1.5749745094341849E-2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1.6723425293255076E-4</v>
      </c>
      <c r="D114" s="599">
        <f t="shared" si="12"/>
        <v>1.8997582520232978E-4</v>
      </c>
      <c r="E114" s="599">
        <f t="shared" si="13"/>
        <v>2.2741572269779014E-5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3.3031307633327434E-3</v>
      </c>
      <c r="D115" s="599">
        <f t="shared" si="12"/>
        <v>5.5870310103382755E-3</v>
      </c>
      <c r="E115" s="599">
        <f t="shared" si="13"/>
        <v>2.2839002470055321E-3</v>
      </c>
    </row>
    <row r="116" spans="1:5" s="421" customFormat="1" x14ac:dyDescent="0.2">
      <c r="A116" s="588"/>
      <c r="B116" s="592" t="s">
        <v>796</v>
      </c>
      <c r="C116" s="600">
        <f>SUM(C110+C111+C114)</f>
        <v>0.41342093390146195</v>
      </c>
      <c r="D116" s="600">
        <f>SUM(D110+D111+D114)</f>
        <v>0.39597607276427899</v>
      </c>
      <c r="E116" s="601">
        <f t="shared" si="13"/>
        <v>-1.7444861137182965E-2</v>
      </c>
    </row>
    <row r="117" spans="1:5" s="421" customFormat="1" x14ac:dyDescent="0.2">
      <c r="A117" s="588"/>
      <c r="B117" s="592" t="s">
        <v>797</v>
      </c>
      <c r="C117" s="600">
        <f>SUM(C109+C116)</f>
        <v>0.62218603610178624</v>
      </c>
      <c r="D117" s="600">
        <f>SUM(D109+D116)</f>
        <v>0.61434871895297694</v>
      </c>
      <c r="E117" s="601">
        <f t="shared" si="13"/>
        <v>-7.8373171488093085E-3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0.2257982707203913</v>
      </c>
      <c r="D121" s="599">
        <f t="shared" si="14"/>
        <v>0.22754721805719602</v>
      </c>
      <c r="E121" s="599">
        <f t="shared" ref="E121:E129" si="15">D121-C121</f>
        <v>1.7489473368047237E-3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7.543716865173769E-2</v>
      </c>
      <c r="D122" s="599">
        <f t="shared" si="14"/>
        <v>8.0172968647266543E-2</v>
      </c>
      <c r="E122" s="599">
        <f t="shared" si="15"/>
        <v>4.7357999955288527E-3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7.6158998244517329E-2</v>
      </c>
      <c r="D123" s="599">
        <f t="shared" si="14"/>
        <v>7.7383182970017422E-2</v>
      </c>
      <c r="E123" s="599">
        <f t="shared" si="15"/>
        <v>1.2241847255000937E-3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7.6158998244517329E-2</v>
      </c>
      <c r="D124" s="599">
        <f t="shared" si="14"/>
        <v>7.7383182970017422E-2</v>
      </c>
      <c r="E124" s="599">
        <f t="shared" si="15"/>
        <v>1.2241847255000937E-3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4.1952628156739503E-4</v>
      </c>
      <c r="D126" s="599">
        <f t="shared" si="14"/>
        <v>5.4791137254306312E-4</v>
      </c>
      <c r="E126" s="599">
        <f t="shared" si="15"/>
        <v>1.2838509097566809E-4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7.2874762196691182E-3</v>
      </c>
      <c r="D127" s="599">
        <f t="shared" si="14"/>
        <v>7.6965830694027465E-3</v>
      </c>
      <c r="E127" s="599">
        <f t="shared" si="15"/>
        <v>4.0910684973362831E-4</v>
      </c>
    </row>
    <row r="128" spans="1:5" s="421" customFormat="1" x14ac:dyDescent="0.2">
      <c r="A128" s="588"/>
      <c r="B128" s="592" t="s">
        <v>799</v>
      </c>
      <c r="C128" s="600">
        <f>SUM(C122+C123+C126)</f>
        <v>0.1520156931778224</v>
      </c>
      <c r="D128" s="600">
        <f>SUM(D122+D123+D126)</f>
        <v>0.15810406298982704</v>
      </c>
      <c r="E128" s="601">
        <f t="shared" si="15"/>
        <v>6.0883698120046403E-3</v>
      </c>
    </row>
    <row r="129" spans="1:5" s="421" customFormat="1" x14ac:dyDescent="0.2">
      <c r="A129" s="588"/>
      <c r="B129" s="592" t="s">
        <v>800</v>
      </c>
      <c r="C129" s="600">
        <f>SUM(C121+C128)</f>
        <v>0.3778139638982137</v>
      </c>
      <c r="D129" s="600">
        <f>SUM(D121+D128)</f>
        <v>0.38565128104702306</v>
      </c>
      <c r="E129" s="601">
        <f t="shared" si="15"/>
        <v>7.837317148809364E-3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5672</v>
      </c>
      <c r="D137" s="606">
        <v>5525</v>
      </c>
      <c r="E137" s="607">
        <f t="shared" ref="E137:E145" si="16">D137-C137</f>
        <v>-147</v>
      </c>
    </row>
    <row r="138" spans="1:5" s="421" customFormat="1" x14ac:dyDescent="0.2">
      <c r="A138" s="588">
        <v>2</v>
      </c>
      <c r="B138" s="587" t="s">
        <v>635</v>
      </c>
      <c r="C138" s="606">
        <v>7260</v>
      </c>
      <c r="D138" s="606">
        <v>7117</v>
      </c>
      <c r="E138" s="607">
        <f t="shared" si="16"/>
        <v>-143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5984</v>
      </c>
      <c r="D139" s="606">
        <f>D140+D141</f>
        <v>5789</v>
      </c>
      <c r="E139" s="607">
        <f t="shared" si="16"/>
        <v>-195</v>
      </c>
    </row>
    <row r="140" spans="1:5" s="421" customFormat="1" x14ac:dyDescent="0.2">
      <c r="A140" s="588">
        <v>4</v>
      </c>
      <c r="B140" s="587" t="s">
        <v>115</v>
      </c>
      <c r="C140" s="606">
        <v>5984</v>
      </c>
      <c r="D140" s="606">
        <v>5789</v>
      </c>
      <c r="E140" s="607">
        <f t="shared" si="16"/>
        <v>-195</v>
      </c>
    </row>
    <row r="141" spans="1:5" s="421" customFormat="1" x14ac:dyDescent="0.2">
      <c r="A141" s="588">
        <v>5</v>
      </c>
      <c r="B141" s="587" t="s">
        <v>743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20</v>
      </c>
      <c r="D142" s="606">
        <v>22</v>
      </c>
      <c r="E142" s="607">
        <f t="shared" si="16"/>
        <v>2</v>
      </c>
    </row>
    <row r="143" spans="1:5" s="421" customFormat="1" x14ac:dyDescent="0.2">
      <c r="A143" s="588">
        <v>7</v>
      </c>
      <c r="B143" s="587" t="s">
        <v>758</v>
      </c>
      <c r="C143" s="606">
        <v>296</v>
      </c>
      <c r="D143" s="606">
        <v>301</v>
      </c>
      <c r="E143" s="607">
        <f t="shared" si="16"/>
        <v>5</v>
      </c>
    </row>
    <row r="144" spans="1:5" s="421" customFormat="1" x14ac:dyDescent="0.2">
      <c r="A144" s="588"/>
      <c r="B144" s="592" t="s">
        <v>807</v>
      </c>
      <c r="C144" s="608">
        <f>SUM(C138+C139+C142)</f>
        <v>13264</v>
      </c>
      <c r="D144" s="608">
        <f>SUM(D138+D139+D142)</f>
        <v>12928</v>
      </c>
      <c r="E144" s="609">
        <f t="shared" si="16"/>
        <v>-336</v>
      </c>
    </row>
    <row r="145" spans="1:5" s="421" customFormat="1" x14ac:dyDescent="0.2">
      <c r="A145" s="588"/>
      <c r="B145" s="592" t="s">
        <v>138</v>
      </c>
      <c r="C145" s="608">
        <f>SUM(C137+C144)</f>
        <v>18936</v>
      </c>
      <c r="D145" s="608">
        <f>SUM(D137+D144)</f>
        <v>18453</v>
      </c>
      <c r="E145" s="609">
        <f t="shared" si="16"/>
        <v>-483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23454</v>
      </c>
      <c r="D149" s="610">
        <v>21986</v>
      </c>
      <c r="E149" s="607">
        <f t="shared" ref="E149:E157" si="17">D149-C149</f>
        <v>-1468</v>
      </c>
    </row>
    <row r="150" spans="1:5" s="421" customFormat="1" x14ac:dyDescent="0.2">
      <c r="A150" s="588">
        <v>2</v>
      </c>
      <c r="B150" s="587" t="s">
        <v>635</v>
      </c>
      <c r="C150" s="610">
        <v>50685</v>
      </c>
      <c r="D150" s="610">
        <v>49215</v>
      </c>
      <c r="E150" s="607">
        <f t="shared" si="17"/>
        <v>-1470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26620</v>
      </c>
      <c r="D151" s="610">
        <f>D152+D153</f>
        <v>26165</v>
      </c>
      <c r="E151" s="607">
        <f t="shared" si="17"/>
        <v>-455</v>
      </c>
    </row>
    <row r="152" spans="1:5" s="421" customFormat="1" x14ac:dyDescent="0.2">
      <c r="A152" s="588">
        <v>4</v>
      </c>
      <c r="B152" s="587" t="s">
        <v>115</v>
      </c>
      <c r="C152" s="610">
        <v>26620</v>
      </c>
      <c r="D152" s="610">
        <v>26165</v>
      </c>
      <c r="E152" s="607">
        <f t="shared" si="17"/>
        <v>-455</v>
      </c>
    </row>
    <row r="153" spans="1:5" s="421" customFormat="1" x14ac:dyDescent="0.2">
      <c r="A153" s="588">
        <v>5</v>
      </c>
      <c r="B153" s="587" t="s">
        <v>743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71</v>
      </c>
      <c r="D154" s="610">
        <v>74</v>
      </c>
      <c r="E154" s="607">
        <f t="shared" si="17"/>
        <v>3</v>
      </c>
    </row>
    <row r="155" spans="1:5" s="421" customFormat="1" x14ac:dyDescent="0.2">
      <c r="A155" s="588">
        <v>7</v>
      </c>
      <c r="B155" s="587" t="s">
        <v>758</v>
      </c>
      <c r="C155" s="610">
        <v>1332</v>
      </c>
      <c r="D155" s="610">
        <v>1191</v>
      </c>
      <c r="E155" s="607">
        <f t="shared" si="17"/>
        <v>-141</v>
      </c>
    </row>
    <row r="156" spans="1:5" s="421" customFormat="1" x14ac:dyDescent="0.2">
      <c r="A156" s="588"/>
      <c r="B156" s="592" t="s">
        <v>808</v>
      </c>
      <c r="C156" s="608">
        <f>SUM(C150+C151+C154)</f>
        <v>77376</v>
      </c>
      <c r="D156" s="608">
        <f>SUM(D150+D151+D154)</f>
        <v>75454</v>
      </c>
      <c r="E156" s="609">
        <f t="shared" si="17"/>
        <v>-1922</v>
      </c>
    </row>
    <row r="157" spans="1:5" s="421" customFormat="1" x14ac:dyDescent="0.2">
      <c r="A157" s="588"/>
      <c r="B157" s="592" t="s">
        <v>140</v>
      </c>
      <c r="C157" s="608">
        <f>SUM(C149+C156)</f>
        <v>100830</v>
      </c>
      <c r="D157" s="608">
        <f>SUM(D149+D156)</f>
        <v>97440</v>
      </c>
      <c r="E157" s="609">
        <f t="shared" si="17"/>
        <v>-3390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4.1350493653032441</v>
      </c>
      <c r="D161" s="612">
        <f t="shared" si="18"/>
        <v>3.9793665158371039</v>
      </c>
      <c r="E161" s="613">
        <f t="shared" ref="E161:E169" si="19">D161-C161</f>
        <v>-0.15568284946614019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6.9814049586776861</v>
      </c>
      <c r="D162" s="612">
        <f t="shared" si="18"/>
        <v>6.9151327806660108</v>
      </c>
      <c r="E162" s="613">
        <f t="shared" si="19"/>
        <v>-6.6272178011675287E-2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4.4485294117647056</v>
      </c>
      <c r="D163" s="612">
        <f t="shared" si="18"/>
        <v>4.5197788910001728</v>
      </c>
      <c r="E163" s="613">
        <f t="shared" si="19"/>
        <v>7.1249479235467206E-2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4.4485294117647056</v>
      </c>
      <c r="D164" s="612">
        <f t="shared" si="18"/>
        <v>4.5197788910001728</v>
      </c>
      <c r="E164" s="613">
        <f t="shared" si="19"/>
        <v>7.1249479235467206E-2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3.55</v>
      </c>
      <c r="D166" s="612">
        <f t="shared" si="18"/>
        <v>3.3636363636363638</v>
      </c>
      <c r="E166" s="613">
        <f t="shared" si="19"/>
        <v>-0.18636363636363606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4.5</v>
      </c>
      <c r="D167" s="612">
        <f t="shared" si="18"/>
        <v>3.9568106312292359</v>
      </c>
      <c r="E167" s="613">
        <f t="shared" si="19"/>
        <v>-0.54318936877076407</v>
      </c>
    </row>
    <row r="168" spans="1:5" s="421" customFormat="1" x14ac:dyDescent="0.2">
      <c r="A168" s="588"/>
      <c r="B168" s="592" t="s">
        <v>810</v>
      </c>
      <c r="C168" s="614">
        <f t="shared" si="18"/>
        <v>5.8335343787696017</v>
      </c>
      <c r="D168" s="614">
        <f t="shared" si="18"/>
        <v>5.8364789603960396</v>
      </c>
      <c r="E168" s="615">
        <f t="shared" si="19"/>
        <v>2.9445816264379587E-3</v>
      </c>
    </row>
    <row r="169" spans="1:5" s="421" customFormat="1" x14ac:dyDescent="0.2">
      <c r="A169" s="588"/>
      <c r="B169" s="592" t="s">
        <v>744</v>
      </c>
      <c r="C169" s="614">
        <f t="shared" si="18"/>
        <v>5.3247782002534851</v>
      </c>
      <c r="D169" s="614">
        <f t="shared" si="18"/>
        <v>5.2804422045195905</v>
      </c>
      <c r="E169" s="615">
        <f t="shared" si="19"/>
        <v>-4.4335995733894684E-2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1.2174799999999999</v>
      </c>
      <c r="D173" s="617">
        <f t="shared" si="20"/>
        <v>1.2422</v>
      </c>
      <c r="E173" s="618">
        <f t="shared" ref="E173:E181" si="21">D173-C173</f>
        <v>2.4720000000000075E-2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1.5809899999999999</v>
      </c>
      <c r="D174" s="617">
        <f t="shared" si="20"/>
        <v>1.5920700000000001</v>
      </c>
      <c r="E174" s="618">
        <f t="shared" si="21"/>
        <v>1.1080000000000201E-2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0.97424999999999984</v>
      </c>
      <c r="D175" s="617">
        <f t="shared" si="20"/>
        <v>1.0349299999999999</v>
      </c>
      <c r="E175" s="618">
        <f t="shared" si="21"/>
        <v>6.0680000000000067E-2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0.97424999999999984</v>
      </c>
      <c r="D176" s="617">
        <f t="shared" si="20"/>
        <v>1.0349299999999999</v>
      </c>
      <c r="E176" s="618">
        <f t="shared" si="21"/>
        <v>6.0680000000000067E-2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1.05752</v>
      </c>
      <c r="D178" s="617">
        <f t="shared" si="20"/>
        <v>1.2058500000000001</v>
      </c>
      <c r="E178" s="618">
        <f t="shared" si="21"/>
        <v>0.14833000000000007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1.0761799999999999</v>
      </c>
      <c r="D179" s="617">
        <f t="shared" si="20"/>
        <v>1.1533199999999999</v>
      </c>
      <c r="E179" s="618">
        <f t="shared" si="21"/>
        <v>7.7139999999999986E-2</v>
      </c>
    </row>
    <row r="180" spans="1:5" s="421" customFormat="1" x14ac:dyDescent="0.2">
      <c r="A180" s="588"/>
      <c r="B180" s="592" t="s">
        <v>812</v>
      </c>
      <c r="C180" s="619">
        <f t="shared" si="20"/>
        <v>1.3064723914354641</v>
      </c>
      <c r="D180" s="619">
        <f t="shared" si="20"/>
        <v>1.3419322911509901</v>
      </c>
      <c r="E180" s="620">
        <f t="shared" si="21"/>
        <v>3.5459899715525989E-2</v>
      </c>
    </row>
    <row r="181" spans="1:5" s="421" customFormat="1" x14ac:dyDescent="0.2">
      <c r="A181" s="588"/>
      <c r="B181" s="592" t="s">
        <v>723</v>
      </c>
      <c r="C181" s="619">
        <f t="shared" si="20"/>
        <v>1.2798160308407265</v>
      </c>
      <c r="D181" s="619">
        <f t="shared" si="20"/>
        <v>1.3120715146588631</v>
      </c>
      <c r="E181" s="620">
        <f t="shared" si="21"/>
        <v>3.2255483818136588E-2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413365615</v>
      </c>
      <c r="D185" s="589">
        <v>445668953</v>
      </c>
      <c r="E185" s="590">
        <f>D185-C185</f>
        <v>32303338</v>
      </c>
    </row>
    <row r="186" spans="1:5" s="421" customFormat="1" ht="25.5" x14ac:dyDescent="0.2">
      <c r="A186" s="588">
        <v>2</v>
      </c>
      <c r="B186" s="587" t="s">
        <v>815</v>
      </c>
      <c r="C186" s="589">
        <v>163302210</v>
      </c>
      <c r="D186" s="589">
        <v>174346795</v>
      </c>
      <c r="E186" s="590">
        <f>D186-C186</f>
        <v>11044585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250063405</v>
      </c>
      <c r="D188" s="622">
        <f>+D185-D186</f>
        <v>271322158</v>
      </c>
      <c r="E188" s="590">
        <f t="shared" ref="E188:E197" si="22">D188-C188</f>
        <v>21258753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0.60494486218937205</v>
      </c>
      <c r="D189" s="623">
        <f>IF(D185=0,0,+D188/D185)</f>
        <v>0.60879753048447149</v>
      </c>
      <c r="E189" s="599">
        <f t="shared" si="22"/>
        <v>3.8526682950994484E-3</v>
      </c>
    </row>
    <row r="190" spans="1:5" s="421" customFormat="1" x14ac:dyDescent="0.2">
      <c r="A190" s="588">
        <v>5</v>
      </c>
      <c r="B190" s="587" t="s">
        <v>762</v>
      </c>
      <c r="C190" s="589">
        <v>1668294</v>
      </c>
      <c r="D190" s="589">
        <v>2030733</v>
      </c>
      <c r="E190" s="622">
        <f t="shared" si="22"/>
        <v>362439</v>
      </c>
    </row>
    <row r="191" spans="1:5" s="421" customFormat="1" x14ac:dyDescent="0.2">
      <c r="A191" s="588">
        <v>6</v>
      </c>
      <c r="B191" s="587" t="s">
        <v>748</v>
      </c>
      <c r="C191" s="589">
        <v>1163756</v>
      </c>
      <c r="D191" s="589">
        <v>1448291</v>
      </c>
      <c r="E191" s="622">
        <f t="shared" si="22"/>
        <v>284535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14777279</v>
      </c>
      <c r="D193" s="589">
        <v>19484535</v>
      </c>
      <c r="E193" s="622">
        <f t="shared" si="22"/>
        <v>4707256</v>
      </c>
    </row>
    <row r="194" spans="1:5" s="421" customFormat="1" x14ac:dyDescent="0.2">
      <c r="A194" s="588">
        <v>9</v>
      </c>
      <c r="B194" s="587" t="s">
        <v>818</v>
      </c>
      <c r="C194" s="589">
        <v>30026844</v>
      </c>
      <c r="D194" s="589">
        <v>32666112</v>
      </c>
      <c r="E194" s="622">
        <f t="shared" si="22"/>
        <v>2639268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44804123</v>
      </c>
      <c r="D195" s="589">
        <f>+D193+D194</f>
        <v>52150647</v>
      </c>
      <c r="E195" s="625">
        <f t="shared" si="22"/>
        <v>7346524</v>
      </c>
    </row>
    <row r="196" spans="1:5" s="421" customFormat="1" x14ac:dyDescent="0.2">
      <c r="A196" s="588">
        <v>11</v>
      </c>
      <c r="B196" s="587" t="s">
        <v>820</v>
      </c>
      <c r="C196" s="589">
        <v>3724703</v>
      </c>
      <c r="D196" s="589">
        <v>4728741</v>
      </c>
      <c r="E196" s="622">
        <f t="shared" si="22"/>
        <v>1004038</v>
      </c>
    </row>
    <row r="197" spans="1:5" s="421" customFormat="1" x14ac:dyDescent="0.2">
      <c r="A197" s="588">
        <v>12</v>
      </c>
      <c r="B197" s="587" t="s">
        <v>710</v>
      </c>
      <c r="C197" s="589">
        <v>403987000</v>
      </c>
      <c r="D197" s="589">
        <v>409234000</v>
      </c>
      <c r="E197" s="622">
        <f t="shared" si="22"/>
        <v>5247000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6905.5465599999998</v>
      </c>
      <c r="D203" s="629">
        <v>6863.1549999999997</v>
      </c>
      <c r="E203" s="630">
        <f t="shared" ref="E203:E211" si="23">D203-C203</f>
        <v>-42.391560000000027</v>
      </c>
    </row>
    <row r="204" spans="1:5" s="421" customFormat="1" x14ac:dyDescent="0.2">
      <c r="A204" s="588">
        <v>2</v>
      </c>
      <c r="B204" s="587" t="s">
        <v>635</v>
      </c>
      <c r="C204" s="629">
        <v>11477.9874</v>
      </c>
      <c r="D204" s="629">
        <v>11330.762190000001</v>
      </c>
      <c r="E204" s="630">
        <f t="shared" si="23"/>
        <v>-147.2252099999987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5829.9119999999994</v>
      </c>
      <c r="D205" s="629">
        <f>D206+D207</f>
        <v>5991.2097699999995</v>
      </c>
      <c r="E205" s="630">
        <f t="shared" si="23"/>
        <v>161.29777000000013</v>
      </c>
    </row>
    <row r="206" spans="1:5" s="421" customFormat="1" x14ac:dyDescent="0.2">
      <c r="A206" s="588">
        <v>4</v>
      </c>
      <c r="B206" s="587" t="s">
        <v>115</v>
      </c>
      <c r="C206" s="629">
        <v>5829.9119999999994</v>
      </c>
      <c r="D206" s="629">
        <v>5991.2097699999995</v>
      </c>
      <c r="E206" s="630">
        <f t="shared" si="23"/>
        <v>161.29777000000013</v>
      </c>
    </row>
    <row r="207" spans="1:5" s="421" customFormat="1" x14ac:dyDescent="0.2">
      <c r="A207" s="588">
        <v>5</v>
      </c>
      <c r="B207" s="587" t="s">
        <v>743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21.150400000000001</v>
      </c>
      <c r="D208" s="629">
        <v>26.528700000000001</v>
      </c>
      <c r="E208" s="630">
        <f t="shared" si="23"/>
        <v>5.3782999999999994</v>
      </c>
    </row>
    <row r="209" spans="1:5" s="421" customFormat="1" x14ac:dyDescent="0.2">
      <c r="A209" s="588">
        <v>7</v>
      </c>
      <c r="B209" s="587" t="s">
        <v>758</v>
      </c>
      <c r="C209" s="629">
        <v>318.54927999999995</v>
      </c>
      <c r="D209" s="629">
        <v>347.14931999999999</v>
      </c>
      <c r="E209" s="630">
        <f t="shared" si="23"/>
        <v>28.600040000000035</v>
      </c>
    </row>
    <row r="210" spans="1:5" s="421" customFormat="1" x14ac:dyDescent="0.2">
      <c r="A210" s="588"/>
      <c r="B210" s="592" t="s">
        <v>823</v>
      </c>
      <c r="C210" s="631">
        <f>C204+C205+C208</f>
        <v>17329.049799999997</v>
      </c>
      <c r="D210" s="631">
        <f>D204+D205+D208</f>
        <v>17348.500660000002</v>
      </c>
      <c r="E210" s="632">
        <f t="shared" si="23"/>
        <v>19.450860000004468</v>
      </c>
    </row>
    <row r="211" spans="1:5" s="421" customFormat="1" x14ac:dyDescent="0.2">
      <c r="A211" s="588"/>
      <c r="B211" s="592" t="s">
        <v>724</v>
      </c>
      <c r="C211" s="631">
        <f>C210+C203</f>
        <v>24234.596359999996</v>
      </c>
      <c r="D211" s="631">
        <f>D210+D203</f>
        <v>24211.65566</v>
      </c>
      <c r="E211" s="632">
        <f t="shared" si="23"/>
        <v>-22.940699999995559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7449.3848447862911</v>
      </c>
      <c r="D215" s="633">
        <f>IF(D14*D137=0,0,D25/D14*D137)</f>
        <v>7833.3391081114232</v>
      </c>
      <c r="E215" s="633">
        <f t="shared" ref="E215:E223" si="24">D215-C215</f>
        <v>383.95426332513216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3163.4559387470745</v>
      </c>
      <c r="D216" s="633">
        <f>IF(D15*D138=0,0,D26/D15*D138)</f>
        <v>3677.7242497183956</v>
      </c>
      <c r="E216" s="633">
        <f t="shared" si="24"/>
        <v>514.26831097132117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6098.7119865100376</v>
      </c>
      <c r="D217" s="633">
        <f>D218+D219</f>
        <v>6507.6561588243276</v>
      </c>
      <c r="E217" s="633">
        <f t="shared" si="24"/>
        <v>408.94417231428997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6098.7119865100376</v>
      </c>
      <c r="D218" s="633">
        <f t="shared" si="25"/>
        <v>6507.6561588243276</v>
      </c>
      <c r="E218" s="633">
        <f t="shared" si="24"/>
        <v>408.94417231428997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34.537282438449218</v>
      </c>
      <c r="D220" s="633">
        <f t="shared" si="25"/>
        <v>43.025102789068626</v>
      </c>
      <c r="E220" s="633">
        <f t="shared" si="24"/>
        <v>8.4878203506194083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1040.6023901238473</v>
      </c>
      <c r="D221" s="633">
        <f t="shared" si="25"/>
        <v>998.17851255562812</v>
      </c>
      <c r="E221" s="633">
        <f t="shared" si="24"/>
        <v>-42.423877568219154</v>
      </c>
    </row>
    <row r="222" spans="1:5" s="421" customFormat="1" x14ac:dyDescent="0.2">
      <c r="A222" s="588"/>
      <c r="B222" s="592" t="s">
        <v>825</v>
      </c>
      <c r="C222" s="634">
        <f>C216+C218+C219+C220</f>
        <v>9296.7052076955606</v>
      </c>
      <c r="D222" s="634">
        <f>D216+D218+D219+D220</f>
        <v>10228.405511331792</v>
      </c>
      <c r="E222" s="634">
        <f t="shared" si="24"/>
        <v>931.70030363623118</v>
      </c>
    </row>
    <row r="223" spans="1:5" s="421" customFormat="1" x14ac:dyDescent="0.2">
      <c r="A223" s="588"/>
      <c r="B223" s="592" t="s">
        <v>826</v>
      </c>
      <c r="C223" s="634">
        <f>C215+C222</f>
        <v>16746.09005248185</v>
      </c>
      <c r="D223" s="634">
        <f>D215+D222</f>
        <v>18061.744619443216</v>
      </c>
      <c r="E223" s="634">
        <f t="shared" si="24"/>
        <v>1315.6545669613661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12454.385797378507</v>
      </c>
      <c r="D227" s="636">
        <f t="shared" si="26"/>
        <v>13679.007832403611</v>
      </c>
      <c r="E227" s="636">
        <f t="shared" ref="E227:E235" si="27">D227-C227</f>
        <v>1224.6220350251042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10548.555576912377</v>
      </c>
      <c r="D228" s="636">
        <f t="shared" si="26"/>
        <v>11085.910717538411</v>
      </c>
      <c r="E228" s="636">
        <f t="shared" si="27"/>
        <v>537.35514062603397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8434.2122145239937</v>
      </c>
      <c r="D229" s="636">
        <f t="shared" si="26"/>
        <v>7434.4934846105389</v>
      </c>
      <c r="E229" s="636">
        <f t="shared" si="27"/>
        <v>-999.71872991345481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8434.2122145239937</v>
      </c>
      <c r="D230" s="636">
        <f t="shared" si="26"/>
        <v>7434.4934846105389</v>
      </c>
      <c r="E230" s="636">
        <f t="shared" si="27"/>
        <v>-999.71872991345481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3257.3852031167257</v>
      </c>
      <c r="D232" s="636">
        <f t="shared" si="26"/>
        <v>3078.6657469080656</v>
      </c>
      <c r="E232" s="636">
        <f t="shared" si="27"/>
        <v>-178.71945620866018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4271.8068614061858</v>
      </c>
      <c r="D233" s="636">
        <f t="shared" si="26"/>
        <v>6919.0255075251198</v>
      </c>
      <c r="E233" s="636">
        <f t="shared" si="27"/>
        <v>2647.218646118934</v>
      </c>
    </row>
    <row r="234" spans="1:5" x14ac:dyDescent="0.2">
      <c r="A234" s="588"/>
      <c r="B234" s="592" t="s">
        <v>828</v>
      </c>
      <c r="C234" s="637">
        <f t="shared" si="26"/>
        <v>9828.3402705669432</v>
      </c>
      <c r="D234" s="637">
        <f t="shared" si="26"/>
        <v>9812.6693675901788</v>
      </c>
      <c r="E234" s="637">
        <f t="shared" si="27"/>
        <v>-15.67090297676441</v>
      </c>
    </row>
    <row r="235" spans="1:5" s="421" customFormat="1" x14ac:dyDescent="0.2">
      <c r="A235" s="588"/>
      <c r="B235" s="592" t="s">
        <v>829</v>
      </c>
      <c r="C235" s="637">
        <f t="shared" si="26"/>
        <v>10576.620926233576</v>
      </c>
      <c r="D235" s="637">
        <f t="shared" si="26"/>
        <v>10908.640685665525</v>
      </c>
      <c r="E235" s="637">
        <f t="shared" si="27"/>
        <v>332.01975943194884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12487.131077018295</v>
      </c>
      <c r="D239" s="636">
        <f t="shared" si="28"/>
        <v>12488.341644587015</v>
      </c>
      <c r="E239" s="638">
        <f t="shared" ref="E239:E247" si="29">D239-C239</f>
        <v>1.2105675687198527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9823.9481129959022</v>
      </c>
      <c r="D240" s="636">
        <f t="shared" si="28"/>
        <v>9371.9285785602806</v>
      </c>
      <c r="E240" s="638">
        <f t="shared" si="29"/>
        <v>-452.01953443562161</v>
      </c>
    </row>
    <row r="241" spans="1:5" x14ac:dyDescent="0.2">
      <c r="A241" s="588">
        <v>3</v>
      </c>
      <c r="B241" s="587" t="s">
        <v>777</v>
      </c>
      <c r="C241" s="636">
        <f t="shared" si="28"/>
        <v>5144.5283970450637</v>
      </c>
      <c r="D241" s="636">
        <f t="shared" si="28"/>
        <v>5112.1331840633375</v>
      </c>
      <c r="E241" s="638">
        <f t="shared" si="29"/>
        <v>-32.395212981726218</v>
      </c>
    </row>
    <row r="242" spans="1:5" x14ac:dyDescent="0.2">
      <c r="A242" s="588">
        <v>4</v>
      </c>
      <c r="B242" s="587" t="s">
        <v>115</v>
      </c>
      <c r="C242" s="636">
        <f t="shared" si="28"/>
        <v>5144.5283970450637</v>
      </c>
      <c r="D242" s="636">
        <f t="shared" si="28"/>
        <v>5112.1331840633375</v>
      </c>
      <c r="E242" s="638">
        <f t="shared" si="29"/>
        <v>-32.395212981726218</v>
      </c>
    </row>
    <row r="243" spans="1:5" x14ac:dyDescent="0.2">
      <c r="A243" s="588">
        <v>5</v>
      </c>
      <c r="B243" s="587" t="s">
        <v>743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5004.1864268855425</v>
      </c>
      <c r="D244" s="636">
        <f t="shared" si="28"/>
        <v>5474.8038872750149</v>
      </c>
      <c r="E244" s="638">
        <f t="shared" si="29"/>
        <v>470.6174603894724</v>
      </c>
    </row>
    <row r="245" spans="1:5" x14ac:dyDescent="0.2">
      <c r="A245" s="588">
        <v>7</v>
      </c>
      <c r="B245" s="587" t="s">
        <v>758</v>
      </c>
      <c r="C245" s="636">
        <f t="shared" si="28"/>
        <v>2885.0596812896933</v>
      </c>
      <c r="D245" s="636">
        <f t="shared" si="28"/>
        <v>3314.8960415190249</v>
      </c>
      <c r="E245" s="638">
        <f t="shared" si="29"/>
        <v>429.8363602293316</v>
      </c>
    </row>
    <row r="246" spans="1:5" ht="25.5" x14ac:dyDescent="0.2">
      <c r="A246" s="588"/>
      <c r="B246" s="592" t="s">
        <v>831</v>
      </c>
      <c r="C246" s="637">
        <f t="shared" si="28"/>
        <v>6736.3064226410388</v>
      </c>
      <c r="D246" s="637">
        <f t="shared" si="28"/>
        <v>6645.3102514069005</v>
      </c>
      <c r="E246" s="639">
        <f t="shared" si="29"/>
        <v>-90.996171234138274</v>
      </c>
    </row>
    <row r="247" spans="1:5" x14ac:dyDescent="0.2">
      <c r="A247" s="588"/>
      <c r="B247" s="592" t="s">
        <v>832</v>
      </c>
      <c r="C247" s="637">
        <f t="shared" si="28"/>
        <v>9294.5218562784685</v>
      </c>
      <c r="D247" s="637">
        <f t="shared" si="28"/>
        <v>9179.4201774684898</v>
      </c>
      <c r="E247" s="639">
        <f t="shared" si="29"/>
        <v>-115.10167880997869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28538433.111580774</v>
      </c>
      <c r="D251" s="622">
        <f>((IF((IF(D15=0,0,D26/D15)*D138)=0,0,D59/(IF(D15=0,0,D26/D15)*D138)))-(IF((IF(D17=0,0,D28/D17)*D140)=0,0,D61/(IF(D17=0,0,D28/D17)*D140))))*(IF(D17=0,0,D28/D17)*D140)</f>
        <v>27721283.734329537</v>
      </c>
      <c r="E251" s="622">
        <f>D251-C251</f>
        <v>-817149.37725123763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9220077.670901617</v>
      </c>
      <c r="D253" s="622">
        <f>IF(D233=0,0,(D228-D233)*D209+IF(D221=0,0,(D240-D245)*D221))</f>
        <v>7492531.0954990536</v>
      </c>
      <c r="E253" s="622">
        <f>D253-C253</f>
        <v>-1727546.5754025634</v>
      </c>
    </row>
    <row r="254" spans="1:5" ht="15" customHeight="1" x14ac:dyDescent="0.2">
      <c r="A254" s="588"/>
      <c r="B254" s="592" t="s">
        <v>759</v>
      </c>
      <c r="C254" s="640">
        <f>+C251+C252+C253</f>
        <v>37758510.782482393</v>
      </c>
      <c r="D254" s="640">
        <f>+D251+D252+D253</f>
        <v>35213814.82982859</v>
      </c>
      <c r="E254" s="640">
        <f>D254-C254</f>
        <v>-2544695.9526538029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1390797863</v>
      </c>
      <c r="D258" s="625">
        <f>+D44</f>
        <v>1512519567</v>
      </c>
      <c r="E258" s="622">
        <f t="shared" ref="E258:E271" si="30">D258-C258</f>
        <v>121721704</v>
      </c>
    </row>
    <row r="259" spans="1:5" x14ac:dyDescent="0.2">
      <c r="A259" s="588">
        <v>2</v>
      </c>
      <c r="B259" s="587" t="s">
        <v>742</v>
      </c>
      <c r="C259" s="622">
        <f>+(C43-C76)</f>
        <v>682799539</v>
      </c>
      <c r="D259" s="625">
        <f>+(D43-D76)</f>
        <v>757770895</v>
      </c>
      <c r="E259" s="622">
        <f t="shared" si="30"/>
        <v>74971356</v>
      </c>
    </row>
    <row r="260" spans="1:5" x14ac:dyDescent="0.2">
      <c r="A260" s="588">
        <v>3</v>
      </c>
      <c r="B260" s="587" t="s">
        <v>746</v>
      </c>
      <c r="C260" s="622">
        <f>C195</f>
        <v>44804123</v>
      </c>
      <c r="D260" s="622">
        <f>D195</f>
        <v>52150647</v>
      </c>
      <c r="E260" s="622">
        <f t="shared" si="30"/>
        <v>7346524</v>
      </c>
    </row>
    <row r="261" spans="1:5" x14ac:dyDescent="0.2">
      <c r="A261" s="588">
        <v>4</v>
      </c>
      <c r="B261" s="587" t="s">
        <v>747</v>
      </c>
      <c r="C261" s="622">
        <f>C188</f>
        <v>250063405</v>
      </c>
      <c r="D261" s="622">
        <f>D188</f>
        <v>271322158</v>
      </c>
      <c r="E261" s="622">
        <f t="shared" si="30"/>
        <v>21258753</v>
      </c>
    </row>
    <row r="262" spans="1:5" x14ac:dyDescent="0.2">
      <c r="A262" s="588">
        <v>5</v>
      </c>
      <c r="B262" s="587" t="s">
        <v>748</v>
      </c>
      <c r="C262" s="622">
        <f>C191</f>
        <v>1163756</v>
      </c>
      <c r="D262" s="622">
        <f>D191</f>
        <v>1448291</v>
      </c>
      <c r="E262" s="622">
        <f t="shared" si="30"/>
        <v>284535</v>
      </c>
    </row>
    <row r="263" spans="1:5" x14ac:dyDescent="0.2">
      <c r="A263" s="588">
        <v>6</v>
      </c>
      <c r="B263" s="587" t="s">
        <v>749</v>
      </c>
      <c r="C263" s="622">
        <f>+C259+C260+C261+C262</f>
        <v>978830823</v>
      </c>
      <c r="D263" s="622">
        <f>+D259+D260+D261+D262</f>
        <v>1082691991</v>
      </c>
      <c r="E263" s="622">
        <f t="shared" si="30"/>
        <v>103861168</v>
      </c>
    </row>
    <row r="264" spans="1:5" x14ac:dyDescent="0.2">
      <c r="A264" s="588">
        <v>7</v>
      </c>
      <c r="B264" s="587" t="s">
        <v>654</v>
      </c>
      <c r="C264" s="622">
        <f>+C258-C263</f>
        <v>411967040</v>
      </c>
      <c r="D264" s="622">
        <f>+D258-D263</f>
        <v>429827576</v>
      </c>
      <c r="E264" s="622">
        <f t="shared" si="30"/>
        <v>17860536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411967040</v>
      </c>
      <c r="D266" s="622">
        <f>+D264+D265</f>
        <v>429827576</v>
      </c>
      <c r="E266" s="641">
        <f t="shared" si="30"/>
        <v>17860536</v>
      </c>
    </row>
    <row r="267" spans="1:5" x14ac:dyDescent="0.2">
      <c r="A267" s="588">
        <v>10</v>
      </c>
      <c r="B267" s="587" t="s">
        <v>837</v>
      </c>
      <c r="C267" s="642">
        <f>IF(C258=0,0,C266/C258)</f>
        <v>0.296209140781517</v>
      </c>
      <c r="D267" s="642">
        <f>IF(D258=0,0,D266/D258)</f>
        <v>0.2841798449275863</v>
      </c>
      <c r="E267" s="643">
        <f t="shared" si="30"/>
        <v>-1.2029295853930699E-2</v>
      </c>
    </row>
    <row r="268" spans="1:5" x14ac:dyDescent="0.2">
      <c r="A268" s="588">
        <v>11</v>
      </c>
      <c r="B268" s="587" t="s">
        <v>716</v>
      </c>
      <c r="C268" s="622">
        <f>+C260*C267</f>
        <v>13271390.777299404</v>
      </c>
      <c r="D268" s="644">
        <f>+D260*D267</f>
        <v>14820162.777333293</v>
      </c>
      <c r="E268" s="622">
        <f t="shared" si="30"/>
        <v>1548772.000033889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30894752.676042825</v>
      </c>
      <c r="D269" s="644">
        <f>((D17+D18+D28+D29)*D267)-(D50+D51+D61+D62)</f>
        <v>41713643.666602045</v>
      </c>
      <c r="E269" s="622">
        <f t="shared" si="30"/>
        <v>10818890.99055922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44166143.453342229</v>
      </c>
      <c r="D271" s="622">
        <f>+D268+D269+D270</f>
        <v>56533806.443935335</v>
      </c>
      <c r="E271" s="625">
        <f t="shared" si="30"/>
        <v>12367662.990593106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0.41881095860176443</v>
      </c>
      <c r="D276" s="623">
        <f t="shared" si="31"/>
        <v>0.43943273580310194</v>
      </c>
      <c r="E276" s="650">
        <f t="shared" ref="E276:E284" si="32">D276-C276</f>
        <v>2.062177720133751E-2</v>
      </c>
    </row>
    <row r="277" spans="1:5" x14ac:dyDescent="0.2">
      <c r="A277" s="588">
        <v>2</v>
      </c>
      <c r="B277" s="587" t="s">
        <v>635</v>
      </c>
      <c r="C277" s="623">
        <f t="shared" si="31"/>
        <v>0.3231294523789216</v>
      </c>
      <c r="D277" s="623">
        <f t="shared" si="31"/>
        <v>0.33213944842539467</v>
      </c>
      <c r="E277" s="650">
        <f t="shared" si="32"/>
        <v>9.0099960464730677E-3</v>
      </c>
    </row>
    <row r="278" spans="1:5" x14ac:dyDescent="0.2">
      <c r="A278" s="588">
        <v>3</v>
      </c>
      <c r="B278" s="587" t="s">
        <v>777</v>
      </c>
      <c r="C278" s="623">
        <f t="shared" si="31"/>
        <v>0.26389727401890489</v>
      </c>
      <c r="D278" s="623">
        <f t="shared" si="31"/>
        <v>0.22495219673460506</v>
      </c>
      <c r="E278" s="650">
        <f t="shared" si="32"/>
        <v>-3.8945077284299828E-2</v>
      </c>
    </row>
    <row r="279" spans="1:5" x14ac:dyDescent="0.2">
      <c r="A279" s="588">
        <v>4</v>
      </c>
      <c r="B279" s="587" t="s">
        <v>115</v>
      </c>
      <c r="C279" s="623">
        <f t="shared" si="31"/>
        <v>0.26389727401890489</v>
      </c>
      <c r="D279" s="623">
        <f t="shared" si="31"/>
        <v>0.22495219673460506</v>
      </c>
      <c r="E279" s="650">
        <f t="shared" si="32"/>
        <v>-3.8945077284299828E-2</v>
      </c>
    </row>
    <row r="280" spans="1:5" x14ac:dyDescent="0.2">
      <c r="A280" s="588">
        <v>5</v>
      </c>
      <c r="B280" s="587" t="s">
        <v>743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0.12124491843091706</v>
      </c>
      <c r="D281" s="623">
        <f t="shared" si="31"/>
        <v>0.13667222795829198</v>
      </c>
      <c r="E281" s="650">
        <f t="shared" si="32"/>
        <v>1.5427309527374922E-2</v>
      </c>
    </row>
    <row r="282" spans="1:5" x14ac:dyDescent="0.2">
      <c r="A282" s="588">
        <v>7</v>
      </c>
      <c r="B282" s="587" t="s">
        <v>758</v>
      </c>
      <c r="C282" s="623">
        <f t="shared" si="31"/>
        <v>0.12931736242875233</v>
      </c>
      <c r="D282" s="623">
        <f t="shared" si="31"/>
        <v>0.19858819977157605</v>
      </c>
      <c r="E282" s="650">
        <f t="shared" si="32"/>
        <v>6.9270837342823716E-2</v>
      </c>
    </row>
    <row r="283" spans="1:5" ht="29.25" customHeight="1" x14ac:dyDescent="0.2">
      <c r="A283" s="588"/>
      <c r="B283" s="592" t="s">
        <v>844</v>
      </c>
      <c r="C283" s="651">
        <f t="shared" si="31"/>
        <v>0.30327311183003419</v>
      </c>
      <c r="D283" s="651">
        <f t="shared" si="31"/>
        <v>0.29514104592113166</v>
      </c>
      <c r="E283" s="652">
        <f t="shared" si="32"/>
        <v>-8.1320659089025304E-3</v>
      </c>
    </row>
    <row r="284" spans="1:5" x14ac:dyDescent="0.2">
      <c r="A284" s="588"/>
      <c r="B284" s="592" t="s">
        <v>845</v>
      </c>
      <c r="C284" s="651">
        <f t="shared" si="31"/>
        <v>0.33420895501821896</v>
      </c>
      <c r="D284" s="651">
        <f t="shared" si="31"/>
        <v>0.33414078294595329</v>
      </c>
      <c r="E284" s="652">
        <f t="shared" si="32"/>
        <v>-6.8172072265670902E-5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0.3449026705863889</v>
      </c>
      <c r="D287" s="623">
        <f t="shared" si="33"/>
        <v>0.32296172416174218</v>
      </c>
      <c r="E287" s="650">
        <f t="shared" ref="E287:E295" si="34">D287-C287</f>
        <v>-2.1940946424646723E-2</v>
      </c>
    </row>
    <row r="288" spans="1:5" x14ac:dyDescent="0.2">
      <c r="A288" s="588">
        <v>2</v>
      </c>
      <c r="B288" s="587" t="s">
        <v>635</v>
      </c>
      <c r="C288" s="623">
        <f t="shared" si="33"/>
        <v>0.19034456742961284</v>
      </c>
      <c r="D288" s="623">
        <f t="shared" si="33"/>
        <v>0.17636641818560386</v>
      </c>
      <c r="E288" s="650">
        <f t="shared" si="34"/>
        <v>-1.3978149244008975E-2</v>
      </c>
    </row>
    <row r="289" spans="1:5" x14ac:dyDescent="0.2">
      <c r="A289" s="588">
        <v>3</v>
      </c>
      <c r="B289" s="587" t="s">
        <v>777</v>
      </c>
      <c r="C289" s="623">
        <f t="shared" si="33"/>
        <v>0.16522110952091593</v>
      </c>
      <c r="D289" s="623">
        <f t="shared" si="33"/>
        <v>0.14946174103475887</v>
      </c>
      <c r="E289" s="650">
        <f t="shared" si="34"/>
        <v>-1.5759368486157055E-2</v>
      </c>
    </row>
    <row r="290" spans="1:5" x14ac:dyDescent="0.2">
      <c r="A290" s="588">
        <v>4</v>
      </c>
      <c r="B290" s="587" t="s">
        <v>115</v>
      </c>
      <c r="C290" s="623">
        <f t="shared" si="33"/>
        <v>0.16522110952091593</v>
      </c>
      <c r="D290" s="623">
        <f t="shared" si="33"/>
        <v>0.14946174103475887</v>
      </c>
      <c r="E290" s="650">
        <f t="shared" si="34"/>
        <v>-1.5759368486157055E-2</v>
      </c>
    </row>
    <row r="291" spans="1:5" x14ac:dyDescent="0.2">
      <c r="A291" s="588">
        <v>5</v>
      </c>
      <c r="B291" s="587" t="s">
        <v>743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0.17613242619662964</v>
      </c>
      <c r="D292" s="623">
        <f t="shared" si="33"/>
        <v>0.20155473887317799</v>
      </c>
      <c r="E292" s="650">
        <f t="shared" si="34"/>
        <v>2.5422312676548348E-2</v>
      </c>
    </row>
    <row r="293" spans="1:5" x14ac:dyDescent="0.2">
      <c r="A293" s="588">
        <v>7</v>
      </c>
      <c r="B293" s="587" t="s">
        <v>758</v>
      </c>
      <c r="C293" s="623">
        <f t="shared" si="33"/>
        <v>8.1154968577927172E-2</v>
      </c>
      <c r="D293" s="623">
        <f t="shared" si="33"/>
        <v>8.2495184270961211E-2</v>
      </c>
      <c r="E293" s="650">
        <f t="shared" si="34"/>
        <v>1.3402156930340386E-3</v>
      </c>
    </row>
    <row r="294" spans="1:5" ht="29.25" customHeight="1" x14ac:dyDescent="0.2">
      <c r="A294" s="588"/>
      <c r="B294" s="592" t="s">
        <v>847</v>
      </c>
      <c r="C294" s="651">
        <f t="shared" si="33"/>
        <v>0.17683381225417366</v>
      </c>
      <c r="D294" s="651">
        <f t="shared" si="33"/>
        <v>0.1621503608713529</v>
      </c>
      <c r="E294" s="652">
        <f t="shared" si="34"/>
        <v>-1.4683451382820761E-2</v>
      </c>
    </row>
    <row r="295" spans="1:5" x14ac:dyDescent="0.2">
      <c r="A295" s="588"/>
      <c r="B295" s="592" t="s">
        <v>848</v>
      </c>
      <c r="C295" s="651">
        <f t="shared" si="33"/>
        <v>0.24949326571884684</v>
      </c>
      <c r="D295" s="651">
        <f t="shared" si="33"/>
        <v>0.22960762799843329</v>
      </c>
      <c r="E295" s="652">
        <f t="shared" si="34"/>
        <v>-1.9885637720413546E-2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411967039</v>
      </c>
      <c r="D301" s="590">
        <f>+D48+D47+D50+D51+D52+D59+D58+D61+D62+D63</f>
        <v>429912595</v>
      </c>
      <c r="E301" s="590">
        <f>D301-C301</f>
        <v>17945556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411967039</v>
      </c>
      <c r="D303" s="593">
        <f>+D301+D302</f>
        <v>429912595</v>
      </c>
      <c r="E303" s="593">
        <f>D303-C303</f>
        <v>17945556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8648960</v>
      </c>
      <c r="D305" s="654">
        <v>-11085595</v>
      </c>
      <c r="E305" s="655">
        <f>D305-C305</f>
        <v>-19734555</v>
      </c>
    </row>
    <row r="306" spans="1:5" x14ac:dyDescent="0.2">
      <c r="A306" s="588">
        <v>4</v>
      </c>
      <c r="B306" s="592" t="s">
        <v>855</v>
      </c>
      <c r="C306" s="593">
        <f>+C303+C305+C194+C190-C191</f>
        <v>451147381</v>
      </c>
      <c r="D306" s="593">
        <f>+D303+D305</f>
        <v>418827000</v>
      </c>
      <c r="E306" s="656">
        <f>D306-C306</f>
        <v>-32320381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420616000</v>
      </c>
      <c r="D308" s="589">
        <v>418827000</v>
      </c>
      <c r="E308" s="590">
        <f>D308-C308</f>
        <v>-1789000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30531381</v>
      </c>
      <c r="D310" s="658">
        <f>D306-D308</f>
        <v>0</v>
      </c>
      <c r="E310" s="656">
        <f>D310-C310</f>
        <v>-30531381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1390797863</v>
      </c>
      <c r="D314" s="590">
        <f>+D14+D15+D16+D19+D25+D26+D27+D30</f>
        <v>1512519567</v>
      </c>
      <c r="E314" s="590">
        <f>D314-C314</f>
        <v>121721704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1390797863</v>
      </c>
      <c r="D316" s="657">
        <f>D314+D315</f>
        <v>1512519567</v>
      </c>
      <c r="E316" s="593">
        <f>D316-C316</f>
        <v>121721704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1390797862</v>
      </c>
      <c r="D318" s="589">
        <v>1512519566</v>
      </c>
      <c r="E318" s="590">
        <f>D318-C318</f>
        <v>121721704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1</v>
      </c>
      <c r="D320" s="657">
        <f>D316-D318</f>
        <v>1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44804123</v>
      </c>
      <c r="D324" s="589">
        <f>+D193+D194</f>
        <v>52150647</v>
      </c>
      <c r="E324" s="590">
        <f>D324-C324</f>
        <v>7346524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44804123</v>
      </c>
      <c r="D326" s="657">
        <f>D324+D325</f>
        <v>52150647</v>
      </c>
      <c r="E326" s="593">
        <f>D326-C326</f>
        <v>7346524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44804123</v>
      </c>
      <c r="D328" s="589">
        <v>52150647</v>
      </c>
      <c r="E328" s="590">
        <f>D328-C328</f>
        <v>7346524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213641687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378190000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198004779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198004779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597583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12095054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576792362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790434049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302900956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195430453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222585424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222585424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1168685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40109711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419184562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722085518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516542643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995976924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1512519567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93881151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125611818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44541610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44541610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81673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2401935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170235101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264116252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97825415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34467369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33268005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33268005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235554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3308858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67970928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165796343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191706566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238206029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429912595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5525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7117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5789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5789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22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301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12928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18453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1.2422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1.5920700000000001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1.0349299999999999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1.0349299999999999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1.2058500000000001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1.1533199999999999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1.3419322911509901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1.3120715146588631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445668953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174346795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271322158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0.60879753048447149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2030733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1448291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19484535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32666112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52150647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4728741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409234000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429912595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429912595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-11085595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418827000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418827000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1512519567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1512519567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1512519566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52150647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52150647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52150647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2963</v>
      </c>
      <c r="D12" s="185">
        <v>3167</v>
      </c>
      <c r="E12" s="185">
        <f>+D12-C12</f>
        <v>204</v>
      </c>
      <c r="F12" s="77">
        <f>IF(C12=0,0,+E12/C12)</f>
        <v>6.8849139385757679E-2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2118</v>
      </c>
      <c r="D13" s="185">
        <v>2237</v>
      </c>
      <c r="E13" s="185">
        <f>+D13-C13</f>
        <v>119</v>
      </c>
      <c r="F13" s="77">
        <f>IF(C13=0,0,+E13/C13)</f>
        <v>5.6185080264400375E-2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14777279</v>
      </c>
      <c r="D15" s="76">
        <v>19484535</v>
      </c>
      <c r="E15" s="76">
        <f>+D15-C15</f>
        <v>4707256</v>
      </c>
      <c r="F15" s="77">
        <f>IF(C15=0,0,+E15/C15)</f>
        <v>0.31854687185644937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6976.9966949952786</v>
      </c>
      <c r="D16" s="79">
        <f>IF(D13=0,0,+D15/+D13)</f>
        <v>8710.1184622261953</v>
      </c>
      <c r="E16" s="79">
        <f>+D16-C16</f>
        <v>1733.1217672309167</v>
      </c>
      <c r="F16" s="80">
        <f>IF(C16=0,0,+E16/C16)</f>
        <v>0.24840512945550269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0.29336099999999998</v>
      </c>
      <c r="D18" s="704">
        <v>0.28969600000000001</v>
      </c>
      <c r="E18" s="704">
        <f>+D18-C18</f>
        <v>-3.6649999999999738E-3</v>
      </c>
      <c r="F18" s="77">
        <f>IF(C18=0,0,+E18/C18)</f>
        <v>-1.2493139851582092E-2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4335077.3447190002</v>
      </c>
      <c r="D19" s="79">
        <f>+D15*D18</f>
        <v>5644591.8513599997</v>
      </c>
      <c r="E19" s="79">
        <f>+D19-C19</f>
        <v>1309514.5066409996</v>
      </c>
      <c r="F19" s="80">
        <f>IF(C19=0,0,+E19/C19)</f>
        <v>0.30207408138548042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2046.77872744051</v>
      </c>
      <c r="D20" s="79">
        <f>IF(D13=0,0,+D19/D13)</f>
        <v>2523.2864780330797</v>
      </c>
      <c r="E20" s="79">
        <f>+D20-C20</f>
        <v>476.50775059256966</v>
      </c>
      <c r="F20" s="80">
        <f>IF(C20=0,0,+E20/C20)</f>
        <v>0.23280862958178242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6736252</v>
      </c>
      <c r="D22" s="76">
        <v>10575273</v>
      </c>
      <c r="E22" s="76">
        <f>+D22-C22</f>
        <v>3839021</v>
      </c>
      <c r="F22" s="77">
        <f>IF(C22=0,0,+E22/C22)</f>
        <v>0.56990459976853602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5561575</v>
      </c>
      <c r="D23" s="185">
        <v>5790544</v>
      </c>
      <c r="E23" s="185">
        <f>+D23-C23</f>
        <v>228969</v>
      </c>
      <c r="F23" s="77">
        <f>IF(C23=0,0,+E23/C23)</f>
        <v>4.116981250814742E-2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2479452</v>
      </c>
      <c r="D24" s="185">
        <v>3118718</v>
      </c>
      <c r="E24" s="185">
        <f>+D24-C24</f>
        <v>639266</v>
      </c>
      <c r="F24" s="77">
        <f>IF(C24=0,0,+E24/C24)</f>
        <v>0.25782551950995625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14777279</v>
      </c>
      <c r="D25" s="79">
        <f>+D22+D23+D24</f>
        <v>19484535</v>
      </c>
      <c r="E25" s="79">
        <f>+E22+E23+E24</f>
        <v>4707256</v>
      </c>
      <c r="F25" s="80">
        <f>IF(C25=0,0,+E25/C25)</f>
        <v>0.31854687185644937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2530</v>
      </c>
      <c r="D27" s="185">
        <v>2664</v>
      </c>
      <c r="E27" s="185">
        <f>+D27-C27</f>
        <v>134</v>
      </c>
      <c r="F27" s="77">
        <f>IF(C27=0,0,+E27/C27)</f>
        <v>5.2964426877470355E-2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355</v>
      </c>
      <c r="D28" s="185">
        <v>437</v>
      </c>
      <c r="E28" s="185">
        <f>+D28-C28</f>
        <v>82</v>
      </c>
      <c r="F28" s="77">
        <f>IF(C28=0,0,+E28/C28)</f>
        <v>0.23098591549295774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2178</v>
      </c>
      <c r="D29" s="185">
        <v>1620</v>
      </c>
      <c r="E29" s="185">
        <f>+D29-C29</f>
        <v>-558</v>
      </c>
      <c r="F29" s="77">
        <f>IF(C29=0,0,+E29/C29)</f>
        <v>-0.256198347107438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5337</v>
      </c>
      <c r="D30" s="185">
        <v>5327</v>
      </c>
      <c r="E30" s="185">
        <f>+D30-C30</f>
        <v>-10</v>
      </c>
      <c r="F30" s="77">
        <f>IF(C30=0,0,+E30/C30)</f>
        <v>-1.873711823121604E-3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13687796</v>
      </c>
      <c r="D33" s="76">
        <v>17729603</v>
      </c>
      <c r="E33" s="76">
        <f>+D33-C33</f>
        <v>4041807</v>
      </c>
      <c r="F33" s="77">
        <f>IF(C33=0,0,+E33/C33)</f>
        <v>0.29528544990004235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11300899</v>
      </c>
      <c r="D34" s="185">
        <v>9707933</v>
      </c>
      <c r="E34" s="185">
        <f>+D34-C34</f>
        <v>-1592966</v>
      </c>
      <c r="F34" s="77">
        <f>IF(C34=0,0,+E34/C34)</f>
        <v>-0.14095922811096709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5038149</v>
      </c>
      <c r="D35" s="185">
        <v>5228576</v>
      </c>
      <c r="E35" s="185">
        <f>+D35-C35</f>
        <v>190427</v>
      </c>
      <c r="F35" s="77">
        <f>IF(C35=0,0,+E35/C35)</f>
        <v>3.7797016324844702E-2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30026844</v>
      </c>
      <c r="D36" s="79">
        <f>+D33+D34+D35</f>
        <v>32666112</v>
      </c>
      <c r="E36" s="79">
        <f>+E33+E34+E35</f>
        <v>2639268</v>
      </c>
      <c r="F36" s="80">
        <f>IF(C36=0,0,+E36/C36)</f>
        <v>8.7896949809310634E-2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14777279</v>
      </c>
      <c r="D39" s="76">
        <f>+D25</f>
        <v>19484535</v>
      </c>
      <c r="E39" s="76">
        <f>+D39-C39</f>
        <v>4707256</v>
      </c>
      <c r="F39" s="77">
        <f>IF(C39=0,0,+E39/C39)</f>
        <v>0.31854687185644937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30026844</v>
      </c>
      <c r="D40" s="185">
        <f>+D36</f>
        <v>32666112</v>
      </c>
      <c r="E40" s="185">
        <f>+D40-C40</f>
        <v>2639268</v>
      </c>
      <c r="F40" s="77">
        <f>IF(C40=0,0,+E40/C40)</f>
        <v>8.7896949809310634E-2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44804123</v>
      </c>
      <c r="D41" s="79">
        <f>+D39+D40</f>
        <v>52150647</v>
      </c>
      <c r="E41" s="79">
        <f>+E39+E40</f>
        <v>7346524</v>
      </c>
      <c r="F41" s="80">
        <f>IF(C41=0,0,+E41/C41)</f>
        <v>0.16396982036675509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20424048</v>
      </c>
      <c r="D43" s="76">
        <f t="shared" si="0"/>
        <v>28304876</v>
      </c>
      <c r="E43" s="76">
        <f>+D43-C43</f>
        <v>7880828</v>
      </c>
      <c r="F43" s="77">
        <f>IF(C43=0,0,+E43/C43)</f>
        <v>0.38586023691287841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16862474</v>
      </c>
      <c r="D44" s="185">
        <f t="shared" si="0"/>
        <v>15498477</v>
      </c>
      <c r="E44" s="185">
        <f>+D44-C44</f>
        <v>-1363997</v>
      </c>
      <c r="F44" s="77">
        <f>IF(C44=0,0,+E44/C44)</f>
        <v>-8.0889494625758951E-2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7517601</v>
      </c>
      <c r="D45" s="185">
        <f t="shared" si="0"/>
        <v>8347294</v>
      </c>
      <c r="E45" s="185">
        <f>+D45-C45</f>
        <v>829693</v>
      </c>
      <c r="F45" s="77">
        <f>IF(C45=0,0,+E45/C45)</f>
        <v>0.11036672470379846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44804123</v>
      </c>
      <c r="D46" s="79">
        <f>+D43+D44+D45</f>
        <v>52150647</v>
      </c>
      <c r="E46" s="79">
        <f>+E43+E44+E45</f>
        <v>7346524</v>
      </c>
      <c r="F46" s="80">
        <f>IF(C46=0,0,+E46/C46)</f>
        <v>0.16396982036675509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/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413365615</v>
      </c>
      <c r="D15" s="76">
        <v>445668953</v>
      </c>
      <c r="E15" s="76">
        <f>+D15-C15</f>
        <v>32303338</v>
      </c>
      <c r="F15" s="77">
        <f>IF(C15=0,0,E15/C15)</f>
        <v>7.8147133742607011E-2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250063405</v>
      </c>
      <c r="D17" s="76">
        <v>271322158</v>
      </c>
      <c r="E17" s="76">
        <f>+D17-C17</f>
        <v>21258753</v>
      </c>
      <c r="F17" s="77">
        <f>IF(C17=0,0,E17/C17)</f>
        <v>8.501345088858564E-2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163302210</v>
      </c>
      <c r="D19" s="79">
        <f>+D15-D17</f>
        <v>174346795</v>
      </c>
      <c r="E19" s="79">
        <f>+D19-C19</f>
        <v>11044585</v>
      </c>
      <c r="F19" s="80">
        <f>IF(C19=0,0,E19/C19)</f>
        <v>6.7632795661491663E-2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0.60494486218937205</v>
      </c>
      <c r="D21" s="720">
        <f>IF(D15=0,0,D17/D15)</f>
        <v>0.60879753048447149</v>
      </c>
      <c r="E21" s="720">
        <f>+D21-C21</f>
        <v>3.8526682950994484E-3</v>
      </c>
      <c r="F21" s="80">
        <f>IF(C21=0,0,E21/C21)</f>
        <v>6.36862718555234E-3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zoomScale="75" workbookViewId="0">
      <selection sqref="A1:E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748047048</v>
      </c>
      <c r="D10" s="744">
        <v>766945754</v>
      </c>
      <c r="E10" s="744">
        <v>790434049</v>
      </c>
    </row>
    <row r="11" spans="1:6" ht="26.1" customHeight="1" x14ac:dyDescent="0.25">
      <c r="A11" s="742">
        <v>2</v>
      </c>
      <c r="B11" s="743" t="s">
        <v>932</v>
      </c>
      <c r="C11" s="744">
        <v>552492553</v>
      </c>
      <c r="D11" s="744">
        <v>623852109</v>
      </c>
      <c r="E11" s="744">
        <v>722085518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1300539601</v>
      </c>
      <c r="D12" s="744">
        <f>+D11+D10</f>
        <v>1390797863</v>
      </c>
      <c r="E12" s="744">
        <f>+E11+E10</f>
        <v>1512519567</v>
      </c>
    </row>
    <row r="13" spans="1:6" ht="26.1" customHeight="1" x14ac:dyDescent="0.25">
      <c r="A13" s="742">
        <v>4</v>
      </c>
      <c r="B13" s="743" t="s">
        <v>507</v>
      </c>
      <c r="C13" s="744">
        <v>409615000</v>
      </c>
      <c r="D13" s="744">
        <v>420616000</v>
      </c>
      <c r="E13" s="744">
        <v>418827000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383278000</v>
      </c>
      <c r="D16" s="744">
        <v>403987000</v>
      </c>
      <c r="E16" s="744">
        <v>409234000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104095</v>
      </c>
      <c r="D19" s="747">
        <v>100830</v>
      </c>
      <c r="E19" s="747">
        <v>97440</v>
      </c>
    </row>
    <row r="20" spans="1:5" ht="26.1" customHeight="1" x14ac:dyDescent="0.25">
      <c r="A20" s="742">
        <v>2</v>
      </c>
      <c r="B20" s="743" t="s">
        <v>381</v>
      </c>
      <c r="C20" s="748">
        <v>19058</v>
      </c>
      <c r="D20" s="748">
        <v>18936</v>
      </c>
      <c r="E20" s="748">
        <v>18453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5.4620107041662296</v>
      </c>
      <c r="D21" s="749">
        <f>IF(D20=0,0,+D19/D20)</f>
        <v>5.3247782002534851</v>
      </c>
      <c r="E21" s="749">
        <f>IF(E20=0,0,+E19/E20)</f>
        <v>5.2804422045195905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180977.48013049443</v>
      </c>
      <c r="D22" s="748">
        <f>IF(D10=0,0,D19*(D12/D10))</f>
        <v>182847.54533798486</v>
      </c>
      <c r="E22" s="748">
        <f>IF(E10=0,0,E19*(E12/E10))</f>
        <v>186454.40033224077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33133.856730169195</v>
      </c>
      <c r="D23" s="748">
        <f>IF(D10=0,0,D20*(D12/D10))</f>
        <v>34338.997505901832</v>
      </c>
      <c r="E23" s="748">
        <f>IF(E10=0,0,E20*(E12/E10))</f>
        <v>35310.376122032416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1.2937612078916991</v>
      </c>
      <c r="D26" s="750">
        <v>1.2798160308407267</v>
      </c>
      <c r="E26" s="750">
        <v>1.3120715146588631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134674.07293548642</v>
      </c>
      <c r="D27" s="748">
        <f>D19*D26</f>
        <v>129043.85038967048</v>
      </c>
      <c r="E27" s="748">
        <f>E19*E26</f>
        <v>127848.24838835961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24656.501100000001</v>
      </c>
      <c r="D28" s="748">
        <f>D20*D26</f>
        <v>24234.59636</v>
      </c>
      <c r="E28" s="748">
        <f>E20*E26</f>
        <v>24211.65566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234141.64329482446</v>
      </c>
      <c r="D29" s="748">
        <f>D22*D26</f>
        <v>234011.21972342962</v>
      </c>
      <c r="E29" s="748">
        <f>E22*E26</f>
        <v>244641.50745873316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42867.298505334198</v>
      </c>
      <c r="D30" s="748">
        <f>D23*D26</f>
        <v>43947.599491052897</v>
      </c>
      <c r="E30" s="748">
        <f>E23*E26</f>
        <v>46329.738681609226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12493.775887410538</v>
      </c>
      <c r="D33" s="744">
        <f>IF(D19=0,0,D12/D19)</f>
        <v>13793.492641079043</v>
      </c>
      <c r="E33" s="744">
        <f>IF(E19=0,0,E12/E19)</f>
        <v>15522.573552955664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68241.137632490296</v>
      </c>
      <c r="D34" s="744">
        <f>IF(D20=0,0,D12/D20)</f>
        <v>73447.288920574574</v>
      </c>
      <c r="E34" s="744">
        <f>IF(E20=0,0,E12/E20)</f>
        <v>81966.052511786707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7186.195763485277</v>
      </c>
      <c r="D35" s="744">
        <f>IF(D22=0,0,D12/D22)</f>
        <v>7606.3250421501543</v>
      </c>
      <c r="E35" s="744">
        <f>IF(E22=0,0,E12/E22)</f>
        <v>8112.0078920361238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39251.0781823906</v>
      </c>
      <c r="D36" s="744">
        <f>IF(D23=0,0,D12/D23)</f>
        <v>40501.993768483313</v>
      </c>
      <c r="E36" s="744">
        <f>IF(E23=0,0,E12/E23)</f>
        <v>42834.988836503551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5554.499330827698</v>
      </c>
      <c r="D37" s="744">
        <f>IF(D29=0,0,D12/D29)</f>
        <v>5943.2956447290844</v>
      </c>
      <c r="E37" s="744">
        <f>IF(E29=0,0,E12/E29)</f>
        <v>6182.59584283806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30338.734801265051</v>
      </c>
      <c r="D38" s="744">
        <f>IF(D30=0,0,D12/D30)</f>
        <v>31646.73108671491</v>
      </c>
      <c r="E38" s="744">
        <f>IF(E30=0,0,E12/E30)</f>
        <v>32646.840022009463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4133.3708893538478</v>
      </c>
      <c r="D39" s="744">
        <f>IF(D22=0,0,D10/D22)</f>
        <v>4194.4547441549612</v>
      </c>
      <c r="E39" s="744">
        <f>IF(E22=0,0,E10/E22)</f>
        <v>4239.2887890633601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22576.516041939805</v>
      </c>
      <c r="D40" s="744">
        <f>IF(D23=0,0,D10/D23)</f>
        <v>22334.541183626145</v>
      </c>
      <c r="E40" s="744">
        <f>IF(E23=0,0,E10/E23)</f>
        <v>22385.319438916918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3935.0112877659831</v>
      </c>
      <c r="D43" s="744">
        <f>IF(D19=0,0,D13/D19)</f>
        <v>4171.536249132203</v>
      </c>
      <c r="E43" s="744">
        <f>IF(E19=0,0,E13/E19)</f>
        <v>4298.3066502463053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21493.073774792738</v>
      </c>
      <c r="D44" s="744">
        <f>IF(D20=0,0,D13/D20)</f>
        <v>22212.505280946345</v>
      </c>
      <c r="E44" s="744">
        <f>IF(E20=0,0,E13/E20)</f>
        <v>22696.959843927816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2263.3479022066485</v>
      </c>
      <c r="D45" s="744">
        <f>IF(D22=0,0,D13/D22)</f>
        <v>2300.3644879263302</v>
      </c>
      <c r="E45" s="744">
        <f>IF(E22=0,0,E13/E22)</f>
        <v>2246.2703977685555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12362.430469104896</v>
      </c>
      <c r="D46" s="744">
        <f>IF(D23=0,0,D13/D23)</f>
        <v>12248.930677947394</v>
      </c>
      <c r="E46" s="744">
        <f>IF(E23=0,0,E13/E23)</f>
        <v>11861.301011140091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1749.432498362645</v>
      </c>
      <c r="D47" s="744">
        <f>IF(D29=0,0,D13/D29)</f>
        <v>1797.4180917355698</v>
      </c>
      <c r="E47" s="744">
        <f>IF(E29=0,0,E13/E29)</f>
        <v>1712.0030216893956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9555.4190322730392</v>
      </c>
      <c r="D48" s="744">
        <f>IF(D30=0,0,D13/D30)</f>
        <v>9570.8526716147808</v>
      </c>
      <c r="E48" s="744">
        <f>IF(E30=0,0,E13/E30)</f>
        <v>9040.1330099937531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3682.002017387963</v>
      </c>
      <c r="D51" s="744">
        <f>IF(D19=0,0,D16/D19)</f>
        <v>4006.6150947138749</v>
      </c>
      <c r="E51" s="744">
        <f>IF(E19=0,0,E16/E19)</f>
        <v>4199.85632183908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20111.134431734703</v>
      </c>
      <c r="D52" s="744">
        <f>IF(D20=0,0,D16/D20)</f>
        <v>21334.336713138993</v>
      </c>
      <c r="E52" s="744">
        <f>IF(E20=0,0,E16/E20)</f>
        <v>22177.098574757492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2117.8215086409432</v>
      </c>
      <c r="D53" s="744">
        <f>IF(D22=0,0,D16/D22)</f>
        <v>2209.4198708177873</v>
      </c>
      <c r="E53" s="744">
        <f>IF(E22=0,0,E16/E22)</f>
        <v>2194.8208209127329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11567.563749710305</v>
      </c>
      <c r="D54" s="744">
        <f>IF(D23=0,0,D16/D23)</f>
        <v>11764.670763337424</v>
      </c>
      <c r="E54" s="744">
        <f>IF(E23=0,0,E16/E23)</f>
        <v>11589.624494105929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1636.9493038766593</v>
      </c>
      <c r="D55" s="744">
        <f>IF(D29=0,0,D16/D29)</f>
        <v>1726.3573963567187</v>
      </c>
      <c r="E55" s="744">
        <f>IF(E29=0,0,E16/E29)</f>
        <v>1672.7905425821118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8941.0346199517735</v>
      </c>
      <c r="D56" s="744">
        <f>IF(D30=0,0,D16/D30)</f>
        <v>9192.4702299666205</v>
      </c>
      <c r="E56" s="744">
        <f>IF(E30=0,0,E16/E30)</f>
        <v>8833.0737803718075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50710790</v>
      </c>
      <c r="D59" s="752">
        <v>51727848</v>
      </c>
      <c r="E59" s="752">
        <v>53194778</v>
      </c>
    </row>
    <row r="60" spans="1:6" ht="26.1" customHeight="1" x14ac:dyDescent="0.25">
      <c r="A60" s="742">
        <v>2</v>
      </c>
      <c r="B60" s="743" t="s">
        <v>968</v>
      </c>
      <c r="C60" s="752">
        <v>11626907</v>
      </c>
      <c r="D60" s="752">
        <v>13134644</v>
      </c>
      <c r="E60" s="752">
        <v>13655559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62337697</v>
      </c>
      <c r="D61" s="755">
        <f>D59+D60</f>
        <v>64862492</v>
      </c>
      <c r="E61" s="755">
        <f>E59+E60</f>
        <v>66850337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13924825</v>
      </c>
      <c r="D64" s="744">
        <v>10838798</v>
      </c>
      <c r="E64" s="752">
        <v>11387101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955279</v>
      </c>
      <c r="D65" s="752">
        <v>2452958</v>
      </c>
      <c r="E65" s="752">
        <v>2563288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14880104</v>
      </c>
      <c r="D66" s="757">
        <f>D64+D65</f>
        <v>13291756</v>
      </c>
      <c r="E66" s="757">
        <f>E64+E65</f>
        <v>13950389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75549385</v>
      </c>
      <c r="D69" s="752">
        <v>81647354</v>
      </c>
      <c r="E69" s="752">
        <v>83395121</v>
      </c>
    </row>
    <row r="70" spans="1:6" ht="26.1" customHeight="1" x14ac:dyDescent="0.25">
      <c r="A70" s="742">
        <v>2</v>
      </c>
      <c r="B70" s="743" t="s">
        <v>976</v>
      </c>
      <c r="C70" s="752">
        <v>34400814</v>
      </c>
      <c r="D70" s="752">
        <v>31766398</v>
      </c>
      <c r="E70" s="752">
        <v>31797153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109950199</v>
      </c>
      <c r="D71" s="755">
        <f>D69+D70</f>
        <v>113413752</v>
      </c>
      <c r="E71" s="755">
        <f>E69+E70</f>
        <v>115192274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140185000</v>
      </c>
      <c r="D75" s="744">
        <f t="shared" si="0"/>
        <v>144214000</v>
      </c>
      <c r="E75" s="744">
        <f t="shared" si="0"/>
        <v>147977000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46983000</v>
      </c>
      <c r="D76" s="744">
        <f t="shared" si="0"/>
        <v>47354000</v>
      </c>
      <c r="E76" s="744">
        <f t="shared" si="0"/>
        <v>48016000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187168000</v>
      </c>
      <c r="D77" s="757">
        <f>D75+D76</f>
        <v>191568000</v>
      </c>
      <c r="E77" s="757">
        <f>E75+E76</f>
        <v>195993000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580.1</v>
      </c>
      <c r="D80" s="749">
        <v>585.4</v>
      </c>
      <c r="E80" s="749">
        <v>606.5</v>
      </c>
    </row>
    <row r="81" spans="1:5" ht="26.1" customHeight="1" x14ac:dyDescent="0.25">
      <c r="A81" s="742">
        <v>2</v>
      </c>
      <c r="B81" s="743" t="s">
        <v>617</v>
      </c>
      <c r="C81" s="749">
        <v>135.9</v>
      </c>
      <c r="D81" s="749">
        <v>109.3</v>
      </c>
      <c r="E81" s="749">
        <v>107.2</v>
      </c>
    </row>
    <row r="82" spans="1:5" ht="26.1" customHeight="1" x14ac:dyDescent="0.25">
      <c r="A82" s="742">
        <v>3</v>
      </c>
      <c r="B82" s="743" t="s">
        <v>982</v>
      </c>
      <c r="C82" s="749">
        <v>1369.9</v>
      </c>
      <c r="D82" s="749">
        <v>1415.9</v>
      </c>
      <c r="E82" s="749">
        <v>1412.3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2085.9</v>
      </c>
      <c r="D83" s="759">
        <f>D80+D81+D82</f>
        <v>2110.6</v>
      </c>
      <c r="E83" s="759">
        <f>E80+E81+E82</f>
        <v>2126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87417.32459920703</v>
      </c>
      <c r="D86" s="752">
        <f>IF(D80=0,0,D59/D80)</f>
        <v>88363.252476938855</v>
      </c>
      <c r="E86" s="752">
        <f>IF(E80=0,0,E59/E80)</f>
        <v>87707.795548227528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20042.935700741251</v>
      </c>
      <c r="D87" s="752">
        <f>IF(D80=0,0,D60/D80)</f>
        <v>22437.041339255211</v>
      </c>
      <c r="E87" s="752">
        <f>IF(E80=0,0,E60/E80)</f>
        <v>22515.348722176423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107460.26029994828</v>
      </c>
      <c r="D88" s="755">
        <f>+D86+D87</f>
        <v>110800.29381619407</v>
      </c>
      <c r="E88" s="755">
        <f>+E86+E87</f>
        <v>110223.14427040395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102463.76011773362</v>
      </c>
      <c r="D91" s="744">
        <f>IF(D81=0,0,D64/D81)</f>
        <v>99165.580969807866</v>
      </c>
      <c r="E91" s="744">
        <f>IF(E81=0,0,E64/E81)</f>
        <v>106222.95708955223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7029.2788815305366</v>
      </c>
      <c r="D92" s="744">
        <f>IF(D81=0,0,D65/D81)</f>
        <v>22442.433668801463</v>
      </c>
      <c r="E92" s="744">
        <f>IF(E81=0,0,E65/E81)</f>
        <v>23911.268656716416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109493.03899926416</v>
      </c>
      <c r="D93" s="757">
        <f>+D91+D92</f>
        <v>121608.01463860933</v>
      </c>
      <c r="E93" s="757">
        <f>+E91+E92</f>
        <v>130134.22574626865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55149.562011825677</v>
      </c>
      <c r="D96" s="752">
        <f>IF(D82=0,0,D69/D82)</f>
        <v>57664.63309555759</v>
      </c>
      <c r="E96" s="752">
        <f>IF(E82=0,0,E69/E82)</f>
        <v>59049.154570558669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25111.916198262647</v>
      </c>
      <c r="D97" s="752">
        <f>IF(D82=0,0,D70/D82)</f>
        <v>22435.481319302209</v>
      </c>
      <c r="E97" s="752">
        <f>IF(E82=0,0,E70/E82)</f>
        <v>22514.446647312896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80261.478210088331</v>
      </c>
      <c r="D98" s="757">
        <f>+D96+D97</f>
        <v>80100.114414859796</v>
      </c>
      <c r="E98" s="757">
        <f>+E96+E97</f>
        <v>81563.601217871561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67206.00220528309</v>
      </c>
      <c r="D101" s="744">
        <f>IF(D83=0,0,D75/D83)</f>
        <v>68328.437411162711</v>
      </c>
      <c r="E101" s="744">
        <f>IF(E83=0,0,E75/E83)</f>
        <v>69603.480714957666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22524.090320724867</v>
      </c>
      <c r="D102" s="761">
        <f>IF(D83=0,0,D76/D83)</f>
        <v>22436.274045295177</v>
      </c>
      <c r="E102" s="761">
        <f>IF(E83=0,0,E76/E83)</f>
        <v>22585.136406396989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89730.092526007953</v>
      </c>
      <c r="D103" s="757">
        <f>+D101+D102</f>
        <v>90764.711456457881</v>
      </c>
      <c r="E103" s="757">
        <f>+E101+E102</f>
        <v>92188.617121354648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1798.0498583025121</v>
      </c>
      <c r="D108" s="744">
        <f>IF(D19=0,0,D77/D19)</f>
        <v>1899.9107408509371</v>
      </c>
      <c r="E108" s="744">
        <f>IF(E19=0,0,E77/E19)</f>
        <v>2011.4224137931035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9820.9675726728929</v>
      </c>
      <c r="D109" s="744">
        <f>IF(D20=0,0,D77/D20)</f>
        <v>10116.60329531052</v>
      </c>
      <c r="E109" s="744">
        <f>IF(E20=0,0,E77/E20)</f>
        <v>10621.199804909771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1034.2060231197929</v>
      </c>
      <c r="D110" s="744">
        <f>IF(D22=0,0,D77/D22)</f>
        <v>1047.6924896415524</v>
      </c>
      <c r="E110" s="744">
        <f>IF(E22=0,0,E77/E22)</f>
        <v>1051.1578147298349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5648.8443685934972</v>
      </c>
      <c r="D111" s="744">
        <f>IF(D23=0,0,D77/D23)</f>
        <v>5578.7301294126382</v>
      </c>
      <c r="E111" s="744">
        <f>IF(E23=0,0,E77/E23)</f>
        <v>5550.5780885100048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799.37937295640916</v>
      </c>
      <c r="D112" s="744">
        <f>IF(D29=0,0,D77/D29)</f>
        <v>818.62741549917178</v>
      </c>
      <c r="E112" s="744">
        <f>IF(E29=0,0,E77/E29)</f>
        <v>801.14368994828351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4366.2186917775962</v>
      </c>
      <c r="D113" s="744">
        <f>IF(D30=0,0,D77/D30)</f>
        <v>4359.0094161798415</v>
      </c>
      <c r="E113" s="744">
        <f>IF(E30=0,0,E77/E30)</f>
        <v>4230.3929522874732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1390798000</v>
      </c>
      <c r="D12" s="76">
        <v>1512520000</v>
      </c>
      <c r="E12" s="76">
        <f t="shared" ref="E12:E21" si="0">D12-C12</f>
        <v>121722000</v>
      </c>
      <c r="F12" s="77">
        <f t="shared" ref="F12:F21" si="1">IF(C12=0,0,E12/C12)</f>
        <v>8.7519539142276587E-2</v>
      </c>
    </row>
    <row r="13" spans="1:8" ht="23.1" customHeight="1" x14ac:dyDescent="0.2">
      <c r="A13" s="74">
        <v>2</v>
      </c>
      <c r="B13" s="75" t="s">
        <v>72</v>
      </c>
      <c r="C13" s="76">
        <v>932613000</v>
      </c>
      <c r="D13" s="76">
        <v>1032289000</v>
      </c>
      <c r="E13" s="76">
        <f t="shared" si="0"/>
        <v>99676000</v>
      </c>
      <c r="F13" s="77">
        <f t="shared" si="1"/>
        <v>0.10687820135468838</v>
      </c>
    </row>
    <row r="14" spans="1:8" ht="23.1" customHeight="1" x14ac:dyDescent="0.2">
      <c r="A14" s="74">
        <v>3</v>
      </c>
      <c r="B14" s="75" t="s">
        <v>73</v>
      </c>
      <c r="C14" s="76">
        <v>28181000</v>
      </c>
      <c r="D14" s="76">
        <v>37167000</v>
      </c>
      <c r="E14" s="76">
        <f t="shared" si="0"/>
        <v>8986000</v>
      </c>
      <c r="F14" s="77">
        <f t="shared" si="1"/>
        <v>0.31886732195450834</v>
      </c>
    </row>
    <row r="15" spans="1:8" ht="23.1" customHeight="1" x14ac:dyDescent="0.2">
      <c r="A15" s="74">
        <v>4</v>
      </c>
      <c r="B15" s="75" t="s">
        <v>74</v>
      </c>
      <c r="C15" s="76">
        <v>9388000</v>
      </c>
      <c r="D15" s="76">
        <v>9253000</v>
      </c>
      <c r="E15" s="76">
        <f t="shared" si="0"/>
        <v>-135000</v>
      </c>
      <c r="F15" s="77">
        <f t="shared" si="1"/>
        <v>-1.438005965061781E-2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420616000</v>
      </c>
      <c r="D16" s="79">
        <f>D12-D13-D14-D15</f>
        <v>433811000</v>
      </c>
      <c r="E16" s="79">
        <f t="shared" si="0"/>
        <v>13195000</v>
      </c>
      <c r="F16" s="80">
        <f t="shared" si="1"/>
        <v>3.137065637065637E-2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14984000</v>
      </c>
      <c r="E17" s="76">
        <f t="shared" si="0"/>
        <v>14984000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420616000</v>
      </c>
      <c r="D18" s="79">
        <f>D16-D17</f>
        <v>418827000</v>
      </c>
      <c r="E18" s="79">
        <f t="shared" si="0"/>
        <v>-1789000</v>
      </c>
      <c r="F18" s="80">
        <f t="shared" si="1"/>
        <v>-4.2532856572265439E-3</v>
      </c>
    </row>
    <row r="19" spans="1:7" ht="23.1" customHeight="1" x14ac:dyDescent="0.2">
      <c r="A19" s="74">
        <v>6</v>
      </c>
      <c r="B19" s="75" t="s">
        <v>78</v>
      </c>
      <c r="C19" s="76">
        <v>13759000</v>
      </c>
      <c r="D19" s="76">
        <v>19603000</v>
      </c>
      <c r="E19" s="76">
        <f t="shared" si="0"/>
        <v>5844000</v>
      </c>
      <c r="F19" s="77">
        <f t="shared" si="1"/>
        <v>0.4247401700704993</v>
      </c>
      <c r="G19" s="65"/>
    </row>
    <row r="20" spans="1:7" ht="33" customHeight="1" x14ac:dyDescent="0.2">
      <c r="A20" s="74">
        <v>7</v>
      </c>
      <c r="B20" s="82" t="s">
        <v>79</v>
      </c>
      <c r="C20" s="76">
        <v>2316000</v>
      </c>
      <c r="D20" s="76">
        <v>3282000</v>
      </c>
      <c r="E20" s="76">
        <f t="shared" si="0"/>
        <v>966000</v>
      </c>
      <c r="F20" s="77">
        <f t="shared" si="1"/>
        <v>0.41709844559585491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436691000</v>
      </c>
      <c r="D21" s="79">
        <f>SUM(D18:D20)</f>
        <v>441712000</v>
      </c>
      <c r="E21" s="79">
        <f t="shared" si="0"/>
        <v>5021000</v>
      </c>
      <c r="F21" s="80">
        <f t="shared" si="1"/>
        <v>1.1497832563528902E-2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144214000</v>
      </c>
      <c r="D24" s="76">
        <v>147977000</v>
      </c>
      <c r="E24" s="76">
        <f t="shared" ref="E24:E33" si="2">D24-C24</f>
        <v>3763000</v>
      </c>
      <c r="F24" s="77">
        <f t="shared" ref="F24:F33" si="3">IF(C24=0,0,E24/C24)</f>
        <v>2.6093167098894698E-2</v>
      </c>
    </row>
    <row r="25" spans="1:7" ht="23.1" customHeight="1" x14ac:dyDescent="0.2">
      <c r="A25" s="74">
        <v>2</v>
      </c>
      <c r="B25" s="75" t="s">
        <v>83</v>
      </c>
      <c r="C25" s="76">
        <v>47354000</v>
      </c>
      <c r="D25" s="76">
        <v>48016000</v>
      </c>
      <c r="E25" s="76">
        <f t="shared" si="2"/>
        <v>662000</v>
      </c>
      <c r="F25" s="77">
        <f t="shared" si="3"/>
        <v>1.3979811631541158E-2</v>
      </c>
    </row>
    <row r="26" spans="1:7" ht="23.1" customHeight="1" x14ac:dyDescent="0.2">
      <c r="A26" s="74">
        <v>3</v>
      </c>
      <c r="B26" s="75" t="s">
        <v>84</v>
      </c>
      <c r="C26" s="76">
        <v>23346000</v>
      </c>
      <c r="D26" s="76">
        <v>22467000</v>
      </c>
      <c r="E26" s="76">
        <f t="shared" si="2"/>
        <v>-879000</v>
      </c>
      <c r="F26" s="77">
        <f t="shared" si="3"/>
        <v>-3.7650989462863015E-2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47265000</v>
      </c>
      <c r="D27" s="76">
        <v>47722000</v>
      </c>
      <c r="E27" s="76">
        <f t="shared" si="2"/>
        <v>457000</v>
      </c>
      <c r="F27" s="77">
        <f t="shared" si="3"/>
        <v>9.6688881836454032E-3</v>
      </c>
    </row>
    <row r="28" spans="1:7" ht="23.1" customHeight="1" x14ac:dyDescent="0.2">
      <c r="A28" s="74">
        <v>5</v>
      </c>
      <c r="B28" s="75" t="s">
        <v>86</v>
      </c>
      <c r="C28" s="76">
        <v>20175000</v>
      </c>
      <c r="D28" s="76">
        <v>22794000</v>
      </c>
      <c r="E28" s="76">
        <f t="shared" si="2"/>
        <v>2619000</v>
      </c>
      <c r="F28" s="77">
        <f t="shared" si="3"/>
        <v>0.12981412639405204</v>
      </c>
    </row>
    <row r="29" spans="1:7" ht="23.1" customHeight="1" x14ac:dyDescent="0.2">
      <c r="A29" s="74">
        <v>6</v>
      </c>
      <c r="B29" s="75" t="s">
        <v>87</v>
      </c>
      <c r="C29" s="76">
        <v>16623000</v>
      </c>
      <c r="D29" s="76">
        <v>0</v>
      </c>
      <c r="E29" s="76">
        <f t="shared" si="2"/>
        <v>-16623000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2724000</v>
      </c>
      <c r="D30" s="76">
        <v>1665000</v>
      </c>
      <c r="E30" s="76">
        <f t="shared" si="2"/>
        <v>-1059000</v>
      </c>
      <c r="F30" s="77">
        <f t="shared" si="3"/>
        <v>-0.38876651982378857</v>
      </c>
    </row>
    <row r="31" spans="1:7" ht="23.1" customHeight="1" x14ac:dyDescent="0.2">
      <c r="A31" s="74">
        <v>8</v>
      </c>
      <c r="B31" s="75" t="s">
        <v>89</v>
      </c>
      <c r="C31" s="76">
        <v>2179000</v>
      </c>
      <c r="D31" s="76">
        <v>292000</v>
      </c>
      <c r="E31" s="76">
        <f t="shared" si="2"/>
        <v>-1887000</v>
      </c>
      <c r="F31" s="77">
        <f t="shared" si="3"/>
        <v>-0.86599357503441943</v>
      </c>
    </row>
    <row r="32" spans="1:7" ht="23.1" customHeight="1" x14ac:dyDescent="0.2">
      <c r="A32" s="74">
        <v>9</v>
      </c>
      <c r="B32" s="75" t="s">
        <v>90</v>
      </c>
      <c r="C32" s="76">
        <v>100107000</v>
      </c>
      <c r="D32" s="76">
        <v>118301000</v>
      </c>
      <c r="E32" s="76">
        <f t="shared" si="2"/>
        <v>18194000</v>
      </c>
      <c r="F32" s="77">
        <f t="shared" si="3"/>
        <v>0.18174553228045992</v>
      </c>
    </row>
    <row r="33" spans="1:6" ht="23.1" customHeight="1" x14ac:dyDescent="0.25">
      <c r="A33" s="71"/>
      <c r="B33" s="78" t="s">
        <v>91</v>
      </c>
      <c r="C33" s="79">
        <f>SUM(C24:C32)</f>
        <v>403987000</v>
      </c>
      <c r="D33" s="79">
        <f>SUM(D24:D32)</f>
        <v>409234000</v>
      </c>
      <c r="E33" s="79">
        <f t="shared" si="2"/>
        <v>5247000</v>
      </c>
      <c r="F33" s="80">
        <f t="shared" si="3"/>
        <v>1.2988041694410958E-2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32704000</v>
      </c>
      <c r="D35" s="79">
        <f>+D21-D33</f>
        <v>32478000</v>
      </c>
      <c r="E35" s="79">
        <f>D35-C35</f>
        <v>-226000</v>
      </c>
      <c r="F35" s="80">
        <f>IF(C35=0,0,E35/C35)</f>
        <v>-6.910469667318982E-3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829000</v>
      </c>
      <c r="D40" s="76">
        <v>2934000</v>
      </c>
      <c r="E40" s="76">
        <f>D40-C40</f>
        <v>2105000</v>
      </c>
      <c r="F40" s="77">
        <f>IF(C40=0,0,E40/C40)</f>
        <v>2.5392038600723765</v>
      </c>
    </row>
    <row r="41" spans="1:6" ht="23.1" customHeight="1" x14ac:dyDescent="0.25">
      <c r="A41" s="83"/>
      <c r="B41" s="78" t="s">
        <v>97</v>
      </c>
      <c r="C41" s="79">
        <f>SUM(C38:C40)</f>
        <v>829000</v>
      </c>
      <c r="D41" s="79">
        <f>SUM(D38:D40)</f>
        <v>2934000</v>
      </c>
      <c r="E41" s="79">
        <f>D41-C41</f>
        <v>2105000</v>
      </c>
      <c r="F41" s="80">
        <f>IF(C41=0,0,E41/C41)</f>
        <v>2.5392038600723765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33533000</v>
      </c>
      <c r="D43" s="79">
        <f>D35+D41</f>
        <v>35412000</v>
      </c>
      <c r="E43" s="79">
        <f>D43-C43</f>
        <v>1879000</v>
      </c>
      <c r="F43" s="80">
        <f>IF(C43=0,0,E43/C43)</f>
        <v>5.6034354218232788E-2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1335000</v>
      </c>
      <c r="D46" s="76">
        <v>1035000</v>
      </c>
      <c r="E46" s="76">
        <f>D46-C46</f>
        <v>-300000</v>
      </c>
      <c r="F46" s="77">
        <f>IF(C46=0,0,E46/C46)</f>
        <v>-0.2247191011235955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1335000</v>
      </c>
      <c r="D48" s="79">
        <f>SUM(D46:D47)</f>
        <v>1035000</v>
      </c>
      <c r="E48" s="79">
        <f>D48-C48</f>
        <v>-300000</v>
      </c>
      <c r="F48" s="80">
        <f>IF(C48=0,0,E48/C48)</f>
        <v>-0.2247191011235955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34868000</v>
      </c>
      <c r="D50" s="79">
        <f>D43+D48</f>
        <v>36447000</v>
      </c>
      <c r="E50" s="79">
        <f>D50-C50</f>
        <v>1579000</v>
      </c>
      <c r="F50" s="80">
        <f>IF(C50=0,0,E50/C50)</f>
        <v>4.5285075140529998E-2</v>
      </c>
    </row>
    <row r="51" spans="1:6" ht="23.1" customHeight="1" x14ac:dyDescent="0.2">
      <c r="A51" s="85"/>
      <c r="B51" s="75" t="s">
        <v>104</v>
      </c>
      <c r="C51" s="76">
        <v>6228000</v>
      </c>
      <c r="D51" s="76">
        <v>3809000</v>
      </c>
      <c r="E51" s="76">
        <f>D51-C51</f>
        <v>-2419000</v>
      </c>
      <c r="F51" s="77">
        <f>IF(C51=0,0,E51/C51)</f>
        <v>-0.38840719332048812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256963012</v>
      </c>
      <c r="D14" s="113">
        <v>251223047</v>
      </c>
      <c r="E14" s="113">
        <f t="shared" ref="E14:E25" si="0">D14-C14</f>
        <v>-5739965</v>
      </c>
      <c r="F14" s="114">
        <f t="shared" ref="F14:F25" si="1">IF(C14=0,0,E14/C14)</f>
        <v>-2.2337709055184955E-2</v>
      </c>
    </row>
    <row r="15" spans="1:6" x14ac:dyDescent="0.2">
      <c r="A15" s="115">
        <v>2</v>
      </c>
      <c r="B15" s="116" t="s">
        <v>114</v>
      </c>
      <c r="C15" s="113">
        <v>117735695</v>
      </c>
      <c r="D15" s="113">
        <v>126966953</v>
      </c>
      <c r="E15" s="113">
        <f t="shared" si="0"/>
        <v>9231258</v>
      </c>
      <c r="F15" s="114">
        <f t="shared" si="1"/>
        <v>7.8406620863791562E-2</v>
      </c>
    </row>
    <row r="16" spans="1:6" x14ac:dyDescent="0.2">
      <c r="A16" s="115">
        <v>3</v>
      </c>
      <c r="B16" s="116" t="s">
        <v>115</v>
      </c>
      <c r="C16" s="113">
        <v>172129298</v>
      </c>
      <c r="D16" s="113">
        <v>198004779</v>
      </c>
      <c r="E16" s="113">
        <f t="shared" si="0"/>
        <v>25875481</v>
      </c>
      <c r="F16" s="114">
        <f t="shared" si="1"/>
        <v>0.15032583819635401</v>
      </c>
    </row>
    <row r="17" spans="1:6" x14ac:dyDescent="0.2">
      <c r="A17" s="115">
        <v>4</v>
      </c>
      <c r="B17" s="116" t="s">
        <v>116</v>
      </c>
      <c r="C17" s="113">
        <v>14195912</v>
      </c>
      <c r="D17" s="113">
        <v>0</v>
      </c>
      <c r="E17" s="113">
        <f t="shared" si="0"/>
        <v>-14195912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568230</v>
      </c>
      <c r="D18" s="113">
        <v>597583</v>
      </c>
      <c r="E18" s="113">
        <f t="shared" si="0"/>
        <v>29353</v>
      </c>
      <c r="F18" s="114">
        <f t="shared" si="1"/>
        <v>5.1656899494922831E-2</v>
      </c>
    </row>
    <row r="19" spans="1:6" x14ac:dyDescent="0.2">
      <c r="A19" s="115">
        <v>6</v>
      </c>
      <c r="B19" s="116" t="s">
        <v>118</v>
      </c>
      <c r="C19" s="113">
        <v>89248393</v>
      </c>
      <c r="D19" s="113">
        <v>86465399</v>
      </c>
      <c r="E19" s="113">
        <f t="shared" si="0"/>
        <v>-2782994</v>
      </c>
      <c r="F19" s="114">
        <f t="shared" si="1"/>
        <v>-3.1182567063140286E-2</v>
      </c>
    </row>
    <row r="20" spans="1:6" x14ac:dyDescent="0.2">
      <c r="A20" s="115">
        <v>7</v>
      </c>
      <c r="B20" s="116" t="s">
        <v>119</v>
      </c>
      <c r="C20" s="113">
        <v>98765642</v>
      </c>
      <c r="D20" s="113">
        <v>104202777</v>
      </c>
      <c r="E20" s="113">
        <f t="shared" si="0"/>
        <v>5437135</v>
      </c>
      <c r="F20" s="114">
        <f t="shared" si="1"/>
        <v>5.5050874878128167E-2</v>
      </c>
    </row>
    <row r="21" spans="1:6" x14ac:dyDescent="0.2">
      <c r="A21" s="115">
        <v>8</v>
      </c>
      <c r="B21" s="116" t="s">
        <v>120</v>
      </c>
      <c r="C21" s="113">
        <v>6816770</v>
      </c>
      <c r="D21" s="113">
        <v>10878457</v>
      </c>
      <c r="E21" s="113">
        <f t="shared" si="0"/>
        <v>4061687</v>
      </c>
      <c r="F21" s="114">
        <f t="shared" si="1"/>
        <v>0.59583747141241383</v>
      </c>
    </row>
    <row r="22" spans="1:6" x14ac:dyDescent="0.2">
      <c r="A22" s="115">
        <v>9</v>
      </c>
      <c r="B22" s="116" t="s">
        <v>121</v>
      </c>
      <c r="C22" s="113">
        <v>10522802</v>
      </c>
      <c r="D22" s="113">
        <v>12095054</v>
      </c>
      <c r="E22" s="113">
        <f t="shared" si="0"/>
        <v>1572252</v>
      </c>
      <c r="F22" s="114">
        <f t="shared" si="1"/>
        <v>0.14941381582586083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766945754</v>
      </c>
      <c r="D25" s="119">
        <f>SUM(D14:D24)</f>
        <v>790434049</v>
      </c>
      <c r="E25" s="119">
        <f t="shared" si="0"/>
        <v>23488295</v>
      </c>
      <c r="F25" s="120">
        <f t="shared" si="1"/>
        <v>3.0625757920292235E-2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111009607</v>
      </c>
      <c r="D27" s="113">
        <v>126941448</v>
      </c>
      <c r="E27" s="113">
        <f t="shared" ref="E27:E38" si="2">D27-C27</f>
        <v>15931841</v>
      </c>
      <c r="F27" s="114">
        <f t="shared" ref="F27:F38" si="3">IF(C27=0,0,E27/C27)</f>
        <v>0.14351767770874102</v>
      </c>
    </row>
    <row r="28" spans="1:6" x14ac:dyDescent="0.2">
      <c r="A28" s="115">
        <v>2</v>
      </c>
      <c r="B28" s="116" t="s">
        <v>114</v>
      </c>
      <c r="C28" s="113">
        <v>52260758</v>
      </c>
      <c r="D28" s="113">
        <v>68489005</v>
      </c>
      <c r="E28" s="113">
        <f t="shared" si="2"/>
        <v>16228247</v>
      </c>
      <c r="F28" s="114">
        <f t="shared" si="3"/>
        <v>0.31052452396499874</v>
      </c>
    </row>
    <row r="29" spans="1:6" x14ac:dyDescent="0.2">
      <c r="A29" s="115">
        <v>3</v>
      </c>
      <c r="B29" s="116" t="s">
        <v>115</v>
      </c>
      <c r="C29" s="113">
        <v>165343061</v>
      </c>
      <c r="D29" s="113">
        <v>222585424</v>
      </c>
      <c r="E29" s="113">
        <f t="shared" si="2"/>
        <v>57242363</v>
      </c>
      <c r="F29" s="114">
        <f t="shared" si="3"/>
        <v>0.34620360028292935</v>
      </c>
    </row>
    <row r="30" spans="1:6" x14ac:dyDescent="0.2">
      <c r="A30" s="115">
        <v>4</v>
      </c>
      <c r="B30" s="116" t="s">
        <v>116</v>
      </c>
      <c r="C30" s="113">
        <v>24553963</v>
      </c>
      <c r="D30" s="113">
        <v>0</v>
      </c>
      <c r="E30" s="113">
        <f t="shared" si="2"/>
        <v>-24553963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981256</v>
      </c>
      <c r="D31" s="113">
        <v>1168685</v>
      </c>
      <c r="E31" s="113">
        <f t="shared" si="2"/>
        <v>187429</v>
      </c>
      <c r="F31" s="114">
        <f t="shared" si="3"/>
        <v>0.19100927790505229</v>
      </c>
    </row>
    <row r="32" spans="1:6" x14ac:dyDescent="0.2">
      <c r="A32" s="115">
        <v>6</v>
      </c>
      <c r="B32" s="116" t="s">
        <v>118</v>
      </c>
      <c r="C32" s="113">
        <v>104965241</v>
      </c>
      <c r="D32" s="113">
        <v>120442758</v>
      </c>
      <c r="E32" s="113">
        <f t="shared" si="2"/>
        <v>15477517</v>
      </c>
      <c r="F32" s="114">
        <f t="shared" si="3"/>
        <v>0.14745373661362812</v>
      </c>
    </row>
    <row r="33" spans="1:6" x14ac:dyDescent="0.2">
      <c r="A33" s="115">
        <v>7</v>
      </c>
      <c r="B33" s="116" t="s">
        <v>119</v>
      </c>
      <c r="C33" s="113">
        <v>122054632</v>
      </c>
      <c r="D33" s="113">
        <v>136588752</v>
      </c>
      <c r="E33" s="113">
        <f t="shared" si="2"/>
        <v>14534120</v>
      </c>
      <c r="F33" s="114">
        <f t="shared" si="3"/>
        <v>0.1190788072672244</v>
      </c>
    </row>
    <row r="34" spans="1:6" x14ac:dyDescent="0.2">
      <c r="A34" s="115">
        <v>8</v>
      </c>
      <c r="B34" s="116" t="s">
        <v>120</v>
      </c>
      <c r="C34" s="113">
        <v>5690169</v>
      </c>
      <c r="D34" s="113">
        <v>5759735</v>
      </c>
      <c r="E34" s="113">
        <f t="shared" si="2"/>
        <v>69566</v>
      </c>
      <c r="F34" s="114">
        <f t="shared" si="3"/>
        <v>1.2225647428046512E-2</v>
      </c>
    </row>
    <row r="35" spans="1:6" x14ac:dyDescent="0.2">
      <c r="A35" s="115">
        <v>9</v>
      </c>
      <c r="B35" s="116" t="s">
        <v>121</v>
      </c>
      <c r="C35" s="113">
        <v>36993422</v>
      </c>
      <c r="D35" s="113">
        <v>40109711</v>
      </c>
      <c r="E35" s="113">
        <f t="shared" si="2"/>
        <v>3116289</v>
      </c>
      <c r="F35" s="114">
        <f t="shared" si="3"/>
        <v>8.4239003355785796E-2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623852109</v>
      </c>
      <c r="D38" s="119">
        <f>SUM(D27:D37)</f>
        <v>722085518</v>
      </c>
      <c r="E38" s="119">
        <f t="shared" si="2"/>
        <v>98233409</v>
      </c>
      <c r="F38" s="120">
        <f t="shared" si="3"/>
        <v>0.15746265434200848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367972619</v>
      </c>
      <c r="D41" s="119">
        <f t="shared" si="4"/>
        <v>378164495</v>
      </c>
      <c r="E41" s="123">
        <f t="shared" ref="E41:E52" si="5">D41-C41</f>
        <v>10191876</v>
      </c>
      <c r="F41" s="124">
        <f t="shared" ref="F41:F52" si="6">IF(C41=0,0,E41/C41)</f>
        <v>2.76973760376448E-2</v>
      </c>
    </row>
    <row r="42" spans="1:6" ht="15.75" x14ac:dyDescent="0.25">
      <c r="A42" s="121">
        <v>2</v>
      </c>
      <c r="B42" s="122" t="s">
        <v>114</v>
      </c>
      <c r="C42" s="119">
        <f t="shared" si="4"/>
        <v>169996453</v>
      </c>
      <c r="D42" s="119">
        <f t="shared" si="4"/>
        <v>195455958</v>
      </c>
      <c r="E42" s="123">
        <f t="shared" si="5"/>
        <v>25459505</v>
      </c>
      <c r="F42" s="124">
        <f t="shared" si="6"/>
        <v>0.14976491891863178</v>
      </c>
    </row>
    <row r="43" spans="1:6" ht="15.75" x14ac:dyDescent="0.25">
      <c r="A43" s="121">
        <v>3</v>
      </c>
      <c r="B43" s="122" t="s">
        <v>115</v>
      </c>
      <c r="C43" s="119">
        <f t="shared" si="4"/>
        <v>337472359</v>
      </c>
      <c r="D43" s="119">
        <f t="shared" si="4"/>
        <v>420590203</v>
      </c>
      <c r="E43" s="123">
        <f t="shared" si="5"/>
        <v>83117844</v>
      </c>
      <c r="F43" s="124">
        <f t="shared" si="6"/>
        <v>0.24629526473307403</v>
      </c>
    </row>
    <row r="44" spans="1:6" ht="15.75" x14ac:dyDescent="0.25">
      <c r="A44" s="121">
        <v>4</v>
      </c>
      <c r="B44" s="122" t="s">
        <v>116</v>
      </c>
      <c r="C44" s="119">
        <f t="shared" si="4"/>
        <v>38749875</v>
      </c>
      <c r="D44" s="119">
        <f t="shared" si="4"/>
        <v>0</v>
      </c>
      <c r="E44" s="123">
        <f t="shared" si="5"/>
        <v>-38749875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1549486</v>
      </c>
      <c r="D45" s="119">
        <f t="shared" si="4"/>
        <v>1766268</v>
      </c>
      <c r="E45" s="123">
        <f t="shared" si="5"/>
        <v>216782</v>
      </c>
      <c r="F45" s="124">
        <f t="shared" si="6"/>
        <v>0.13990574939044303</v>
      </c>
    </row>
    <row r="46" spans="1:6" ht="15.75" x14ac:dyDescent="0.25">
      <c r="A46" s="121">
        <v>6</v>
      </c>
      <c r="B46" s="122" t="s">
        <v>118</v>
      </c>
      <c r="C46" s="119">
        <f t="shared" si="4"/>
        <v>194213634</v>
      </c>
      <c r="D46" s="119">
        <f t="shared" si="4"/>
        <v>206908157</v>
      </c>
      <c r="E46" s="123">
        <f t="shared" si="5"/>
        <v>12694523</v>
      </c>
      <c r="F46" s="124">
        <f t="shared" si="6"/>
        <v>6.5363706648936912E-2</v>
      </c>
    </row>
    <row r="47" spans="1:6" ht="15.75" x14ac:dyDescent="0.25">
      <c r="A47" s="121">
        <v>7</v>
      </c>
      <c r="B47" s="122" t="s">
        <v>119</v>
      </c>
      <c r="C47" s="119">
        <f t="shared" si="4"/>
        <v>220820274</v>
      </c>
      <c r="D47" s="119">
        <f t="shared" si="4"/>
        <v>240791529</v>
      </c>
      <c r="E47" s="123">
        <f t="shared" si="5"/>
        <v>19971255</v>
      </c>
      <c r="F47" s="124">
        <f t="shared" si="6"/>
        <v>9.0441220084710158E-2</v>
      </c>
    </row>
    <row r="48" spans="1:6" ht="15.75" x14ac:dyDescent="0.25">
      <c r="A48" s="121">
        <v>8</v>
      </c>
      <c r="B48" s="122" t="s">
        <v>120</v>
      </c>
      <c r="C48" s="119">
        <f t="shared" si="4"/>
        <v>12506939</v>
      </c>
      <c r="D48" s="119">
        <f t="shared" si="4"/>
        <v>16638192</v>
      </c>
      <c r="E48" s="123">
        <f t="shared" si="5"/>
        <v>4131253</v>
      </c>
      <c r="F48" s="124">
        <f t="shared" si="6"/>
        <v>0.33031687449662944</v>
      </c>
    </row>
    <row r="49" spans="1:6" ht="15.75" x14ac:dyDescent="0.25">
      <c r="A49" s="121">
        <v>9</v>
      </c>
      <c r="B49" s="122" t="s">
        <v>121</v>
      </c>
      <c r="C49" s="119">
        <f t="shared" si="4"/>
        <v>47516224</v>
      </c>
      <c r="D49" s="119">
        <f t="shared" si="4"/>
        <v>52204765</v>
      </c>
      <c r="E49" s="123">
        <f t="shared" si="5"/>
        <v>4688541</v>
      </c>
      <c r="F49" s="124">
        <f t="shared" si="6"/>
        <v>9.8672423970389569E-2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1390797863</v>
      </c>
      <c r="D52" s="128">
        <f>SUM(D41:D51)</f>
        <v>1512519567</v>
      </c>
      <c r="E52" s="127">
        <f t="shared" si="5"/>
        <v>121721704</v>
      </c>
      <c r="F52" s="129">
        <f t="shared" si="6"/>
        <v>8.7519334935877741E-2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88185597</v>
      </c>
      <c r="D57" s="113">
        <v>89352752</v>
      </c>
      <c r="E57" s="113">
        <f t="shared" ref="E57:E68" si="7">D57-C57</f>
        <v>1167155</v>
      </c>
      <c r="F57" s="114">
        <f t="shared" ref="F57:F68" si="8">IF(C57=0,0,E57/C57)</f>
        <v>1.3235211187604706E-2</v>
      </c>
    </row>
    <row r="58" spans="1:6" x14ac:dyDescent="0.2">
      <c r="A58" s="115">
        <v>2</v>
      </c>
      <c r="B58" s="116" t="s">
        <v>114</v>
      </c>
      <c r="C58" s="113">
        <v>32890591</v>
      </c>
      <c r="D58" s="113">
        <v>36259066</v>
      </c>
      <c r="E58" s="113">
        <f t="shared" si="7"/>
        <v>3368475</v>
      </c>
      <c r="F58" s="114">
        <f t="shared" si="8"/>
        <v>0.10241454767413574</v>
      </c>
    </row>
    <row r="59" spans="1:6" x14ac:dyDescent="0.2">
      <c r="A59" s="115">
        <v>3</v>
      </c>
      <c r="B59" s="116" t="s">
        <v>115</v>
      </c>
      <c r="C59" s="113">
        <v>46577283</v>
      </c>
      <c r="D59" s="113">
        <v>44541610</v>
      </c>
      <c r="E59" s="113">
        <f t="shared" si="7"/>
        <v>-2035673</v>
      </c>
      <c r="F59" s="114">
        <f t="shared" si="8"/>
        <v>-4.370527581009824E-2</v>
      </c>
    </row>
    <row r="60" spans="1:6" x14ac:dyDescent="0.2">
      <c r="A60" s="115">
        <v>4</v>
      </c>
      <c r="B60" s="116" t="s">
        <v>116</v>
      </c>
      <c r="C60" s="113">
        <v>2593432</v>
      </c>
      <c r="D60" s="113">
        <v>0</v>
      </c>
      <c r="E60" s="113">
        <f t="shared" si="7"/>
        <v>-2593432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68895</v>
      </c>
      <c r="D61" s="113">
        <v>81673</v>
      </c>
      <c r="E61" s="113">
        <f t="shared" si="7"/>
        <v>12778</v>
      </c>
      <c r="F61" s="114">
        <f t="shared" si="8"/>
        <v>0.18547064373321723</v>
      </c>
    </row>
    <row r="62" spans="1:6" x14ac:dyDescent="0.2">
      <c r="A62" s="115">
        <v>6</v>
      </c>
      <c r="B62" s="116" t="s">
        <v>118</v>
      </c>
      <c r="C62" s="113">
        <v>38236155</v>
      </c>
      <c r="D62" s="113">
        <v>37456162</v>
      </c>
      <c r="E62" s="113">
        <f t="shared" si="7"/>
        <v>-779993</v>
      </c>
      <c r="F62" s="114">
        <f t="shared" si="8"/>
        <v>-2.0399357623694117E-2</v>
      </c>
    </row>
    <row r="63" spans="1:6" x14ac:dyDescent="0.2">
      <c r="A63" s="115">
        <v>7</v>
      </c>
      <c r="B63" s="116" t="s">
        <v>119</v>
      </c>
      <c r="C63" s="113">
        <v>39617061</v>
      </c>
      <c r="D63" s="113">
        <v>43244678</v>
      </c>
      <c r="E63" s="113">
        <f t="shared" si="7"/>
        <v>3627617</v>
      </c>
      <c r="F63" s="114">
        <f t="shared" si="8"/>
        <v>9.1567039766024039E-2</v>
      </c>
    </row>
    <row r="64" spans="1:6" x14ac:dyDescent="0.2">
      <c r="A64" s="115">
        <v>8</v>
      </c>
      <c r="B64" s="116" t="s">
        <v>120</v>
      </c>
      <c r="C64" s="113">
        <v>6790344</v>
      </c>
      <c r="D64" s="113">
        <v>10778376</v>
      </c>
      <c r="E64" s="113">
        <f t="shared" si="7"/>
        <v>3988032</v>
      </c>
      <c r="F64" s="114">
        <f t="shared" si="8"/>
        <v>0.58730927328571281</v>
      </c>
    </row>
    <row r="65" spans="1:6" x14ac:dyDescent="0.2">
      <c r="A65" s="115">
        <v>9</v>
      </c>
      <c r="B65" s="116" t="s">
        <v>121</v>
      </c>
      <c r="C65" s="113">
        <v>1360781</v>
      </c>
      <c r="D65" s="113">
        <v>2401935</v>
      </c>
      <c r="E65" s="113">
        <f t="shared" si="7"/>
        <v>1041154</v>
      </c>
      <c r="F65" s="114">
        <f t="shared" si="8"/>
        <v>0.76511503320519614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256320139</v>
      </c>
      <c r="D68" s="119">
        <f>SUM(D57:D67)</f>
        <v>264116252</v>
      </c>
      <c r="E68" s="119">
        <f t="shared" si="7"/>
        <v>7796113</v>
      </c>
      <c r="F68" s="120">
        <f t="shared" si="8"/>
        <v>3.0415530478469347E-2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19370049</v>
      </c>
      <c r="D70" s="113">
        <v>21005674</v>
      </c>
      <c r="E70" s="113">
        <f t="shared" ref="E70:E81" si="9">D70-C70</f>
        <v>1635625</v>
      </c>
      <c r="F70" s="114">
        <f t="shared" ref="F70:F81" si="10">IF(C70=0,0,E70/C70)</f>
        <v>8.4440932493252852E-2</v>
      </c>
    </row>
    <row r="71" spans="1:6" x14ac:dyDescent="0.2">
      <c r="A71" s="115">
        <v>2</v>
      </c>
      <c r="B71" s="116" t="s">
        <v>114</v>
      </c>
      <c r="C71" s="113">
        <v>11707578</v>
      </c>
      <c r="D71" s="113">
        <v>13461695</v>
      </c>
      <c r="E71" s="113">
        <f t="shared" si="9"/>
        <v>1754117</v>
      </c>
      <c r="F71" s="114">
        <f t="shared" si="10"/>
        <v>0.14982748780319893</v>
      </c>
    </row>
    <row r="72" spans="1:6" x14ac:dyDescent="0.2">
      <c r="A72" s="115">
        <v>3</v>
      </c>
      <c r="B72" s="116" t="s">
        <v>115</v>
      </c>
      <c r="C72" s="113">
        <v>26848845</v>
      </c>
      <c r="D72" s="113">
        <v>33268005</v>
      </c>
      <c r="E72" s="113">
        <f t="shared" si="9"/>
        <v>6419160</v>
      </c>
      <c r="F72" s="114">
        <f t="shared" si="10"/>
        <v>0.23908514500344427</v>
      </c>
    </row>
    <row r="73" spans="1:6" x14ac:dyDescent="0.2">
      <c r="A73" s="115">
        <v>4</v>
      </c>
      <c r="B73" s="116" t="s">
        <v>116</v>
      </c>
      <c r="C73" s="113">
        <v>4526152</v>
      </c>
      <c r="D73" s="113">
        <v>0</v>
      </c>
      <c r="E73" s="113">
        <f t="shared" si="9"/>
        <v>-4526152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172831</v>
      </c>
      <c r="D74" s="113">
        <v>235554</v>
      </c>
      <c r="E74" s="113">
        <f t="shared" si="9"/>
        <v>62723</v>
      </c>
      <c r="F74" s="114">
        <f t="shared" si="10"/>
        <v>0.36291521775607383</v>
      </c>
    </row>
    <row r="75" spans="1:6" x14ac:dyDescent="0.2">
      <c r="A75" s="115">
        <v>6</v>
      </c>
      <c r="B75" s="116" t="s">
        <v>118</v>
      </c>
      <c r="C75" s="113">
        <v>39516534</v>
      </c>
      <c r="D75" s="113">
        <v>43485074</v>
      </c>
      <c r="E75" s="113">
        <f t="shared" si="9"/>
        <v>3968540</v>
      </c>
      <c r="F75" s="114">
        <f t="shared" si="10"/>
        <v>0.10042732998799946</v>
      </c>
    </row>
    <row r="76" spans="1:6" x14ac:dyDescent="0.2">
      <c r="A76" s="115">
        <v>7</v>
      </c>
      <c r="B76" s="116" t="s">
        <v>119</v>
      </c>
      <c r="C76" s="113">
        <v>44834601</v>
      </c>
      <c r="D76" s="113">
        <v>45319181</v>
      </c>
      <c r="E76" s="113">
        <f t="shared" si="9"/>
        <v>484580</v>
      </c>
      <c r="F76" s="114">
        <f t="shared" si="10"/>
        <v>1.0808170234413371E-2</v>
      </c>
    </row>
    <row r="77" spans="1:6" x14ac:dyDescent="0.2">
      <c r="A77" s="115">
        <v>8</v>
      </c>
      <c r="B77" s="116" t="s">
        <v>120</v>
      </c>
      <c r="C77" s="113">
        <v>5668110</v>
      </c>
      <c r="D77" s="113">
        <v>5712302</v>
      </c>
      <c r="E77" s="113">
        <f t="shared" si="9"/>
        <v>44192</v>
      </c>
      <c r="F77" s="114">
        <f t="shared" si="10"/>
        <v>7.7966023948017943E-3</v>
      </c>
    </row>
    <row r="78" spans="1:6" x14ac:dyDescent="0.2">
      <c r="A78" s="115">
        <v>9</v>
      </c>
      <c r="B78" s="116" t="s">
        <v>121</v>
      </c>
      <c r="C78" s="113">
        <v>3002200</v>
      </c>
      <c r="D78" s="113">
        <v>3308858</v>
      </c>
      <c r="E78" s="113">
        <f t="shared" si="9"/>
        <v>306658</v>
      </c>
      <c r="F78" s="114">
        <f t="shared" si="10"/>
        <v>0.10214442741989208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155646900</v>
      </c>
      <c r="D81" s="119">
        <f>SUM(D70:D80)</f>
        <v>165796343</v>
      </c>
      <c r="E81" s="119">
        <f t="shared" si="9"/>
        <v>10149443</v>
      </c>
      <c r="F81" s="120">
        <f t="shared" si="10"/>
        <v>6.5208128141325011E-2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107555646</v>
      </c>
      <c r="D84" s="119">
        <f t="shared" si="11"/>
        <v>110358426</v>
      </c>
      <c r="E84" s="119">
        <f t="shared" ref="E84:E95" si="12">D84-C84</f>
        <v>2802780</v>
      </c>
      <c r="F84" s="120">
        <f t="shared" ref="F84:F95" si="13">IF(C84=0,0,E84/C84)</f>
        <v>2.6058883045526032E-2</v>
      </c>
    </row>
    <row r="85" spans="1:6" ht="15.75" x14ac:dyDescent="0.25">
      <c r="A85" s="130">
        <v>2</v>
      </c>
      <c r="B85" s="122" t="s">
        <v>114</v>
      </c>
      <c r="C85" s="119">
        <f t="shared" si="11"/>
        <v>44598169</v>
      </c>
      <c r="D85" s="119">
        <f t="shared" si="11"/>
        <v>49720761</v>
      </c>
      <c r="E85" s="119">
        <f t="shared" si="12"/>
        <v>5122592</v>
      </c>
      <c r="F85" s="120">
        <f t="shared" si="13"/>
        <v>0.11486103835339069</v>
      </c>
    </row>
    <row r="86" spans="1:6" ht="15.75" x14ac:dyDescent="0.25">
      <c r="A86" s="130">
        <v>3</v>
      </c>
      <c r="B86" s="122" t="s">
        <v>115</v>
      </c>
      <c r="C86" s="119">
        <f t="shared" si="11"/>
        <v>73426128</v>
      </c>
      <c r="D86" s="119">
        <f t="shared" si="11"/>
        <v>77809615</v>
      </c>
      <c r="E86" s="119">
        <f t="shared" si="12"/>
        <v>4383487</v>
      </c>
      <c r="F86" s="120">
        <f t="shared" si="13"/>
        <v>5.9699280343367689E-2</v>
      </c>
    </row>
    <row r="87" spans="1:6" ht="15.75" x14ac:dyDescent="0.25">
      <c r="A87" s="130">
        <v>4</v>
      </c>
      <c r="B87" s="122" t="s">
        <v>116</v>
      </c>
      <c r="C87" s="119">
        <f t="shared" si="11"/>
        <v>7119584</v>
      </c>
      <c r="D87" s="119">
        <f t="shared" si="11"/>
        <v>0</v>
      </c>
      <c r="E87" s="119">
        <f t="shared" si="12"/>
        <v>-7119584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241726</v>
      </c>
      <c r="D88" s="119">
        <f t="shared" si="11"/>
        <v>317227</v>
      </c>
      <c r="E88" s="119">
        <f t="shared" si="12"/>
        <v>75501</v>
      </c>
      <c r="F88" s="120">
        <f t="shared" si="13"/>
        <v>0.31234124587342693</v>
      </c>
    </row>
    <row r="89" spans="1:6" ht="15.75" x14ac:dyDescent="0.25">
      <c r="A89" s="130">
        <v>6</v>
      </c>
      <c r="B89" s="122" t="s">
        <v>118</v>
      </c>
      <c r="C89" s="119">
        <f t="shared" si="11"/>
        <v>77752689</v>
      </c>
      <c r="D89" s="119">
        <f t="shared" si="11"/>
        <v>80941236</v>
      </c>
      <c r="E89" s="119">
        <f t="shared" si="12"/>
        <v>3188547</v>
      </c>
      <c r="F89" s="120">
        <f t="shared" si="13"/>
        <v>4.1008832504815365E-2</v>
      </c>
    </row>
    <row r="90" spans="1:6" ht="15.75" x14ac:dyDescent="0.25">
      <c r="A90" s="130">
        <v>7</v>
      </c>
      <c r="B90" s="122" t="s">
        <v>119</v>
      </c>
      <c r="C90" s="119">
        <f t="shared" si="11"/>
        <v>84451662</v>
      </c>
      <c r="D90" s="119">
        <f t="shared" si="11"/>
        <v>88563859</v>
      </c>
      <c r="E90" s="119">
        <f t="shared" si="12"/>
        <v>4112197</v>
      </c>
      <c r="F90" s="120">
        <f t="shared" si="13"/>
        <v>4.8692907902747967E-2</v>
      </c>
    </row>
    <row r="91" spans="1:6" ht="15.75" x14ac:dyDescent="0.25">
      <c r="A91" s="130">
        <v>8</v>
      </c>
      <c r="B91" s="122" t="s">
        <v>120</v>
      </c>
      <c r="C91" s="119">
        <f t="shared" si="11"/>
        <v>12458454</v>
      </c>
      <c r="D91" s="119">
        <f t="shared" si="11"/>
        <v>16490678</v>
      </c>
      <c r="E91" s="119">
        <f t="shared" si="12"/>
        <v>4032224</v>
      </c>
      <c r="F91" s="120">
        <f t="shared" si="13"/>
        <v>0.32365364113396411</v>
      </c>
    </row>
    <row r="92" spans="1:6" ht="15.75" x14ac:dyDescent="0.25">
      <c r="A92" s="130">
        <v>9</v>
      </c>
      <c r="B92" s="122" t="s">
        <v>121</v>
      </c>
      <c r="C92" s="119">
        <f t="shared" si="11"/>
        <v>4362981</v>
      </c>
      <c r="D92" s="119">
        <f t="shared" si="11"/>
        <v>5710793</v>
      </c>
      <c r="E92" s="119">
        <f t="shared" si="12"/>
        <v>1347812</v>
      </c>
      <c r="F92" s="120">
        <f t="shared" si="13"/>
        <v>0.30891997925271736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411967039</v>
      </c>
      <c r="D95" s="128">
        <f>SUM(D84:D94)</f>
        <v>429912595</v>
      </c>
      <c r="E95" s="128">
        <f t="shared" si="12"/>
        <v>17945556</v>
      </c>
      <c r="F95" s="129">
        <f t="shared" si="13"/>
        <v>4.3560659715788576E-2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5067</v>
      </c>
      <c r="D100" s="133">
        <v>4867</v>
      </c>
      <c r="E100" s="133">
        <f t="shared" ref="E100:E111" si="14">D100-C100</f>
        <v>-200</v>
      </c>
      <c r="F100" s="114">
        <f t="shared" ref="F100:F111" si="15">IF(C100=0,0,E100/C100)</f>
        <v>-3.9471087428458652E-2</v>
      </c>
    </row>
    <row r="101" spans="1:6" x14ac:dyDescent="0.2">
      <c r="A101" s="115">
        <v>2</v>
      </c>
      <c r="B101" s="116" t="s">
        <v>114</v>
      </c>
      <c r="C101" s="133">
        <v>2193</v>
      </c>
      <c r="D101" s="133">
        <v>2250</v>
      </c>
      <c r="E101" s="133">
        <f t="shared" si="14"/>
        <v>57</v>
      </c>
      <c r="F101" s="114">
        <f t="shared" si="15"/>
        <v>2.5991792065663474E-2</v>
      </c>
    </row>
    <row r="102" spans="1:6" x14ac:dyDescent="0.2">
      <c r="A102" s="115">
        <v>3</v>
      </c>
      <c r="B102" s="116" t="s">
        <v>115</v>
      </c>
      <c r="C102" s="133">
        <v>5312</v>
      </c>
      <c r="D102" s="133">
        <v>5789</v>
      </c>
      <c r="E102" s="133">
        <f t="shared" si="14"/>
        <v>477</v>
      </c>
      <c r="F102" s="114">
        <f t="shared" si="15"/>
        <v>8.9796686746987958E-2</v>
      </c>
    </row>
    <row r="103" spans="1:6" x14ac:dyDescent="0.2">
      <c r="A103" s="115">
        <v>4</v>
      </c>
      <c r="B103" s="116" t="s">
        <v>116</v>
      </c>
      <c r="C103" s="133">
        <v>672</v>
      </c>
      <c r="D103" s="133">
        <v>0</v>
      </c>
      <c r="E103" s="133">
        <f t="shared" si="14"/>
        <v>-672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20</v>
      </c>
      <c r="D104" s="133">
        <v>22</v>
      </c>
      <c r="E104" s="133">
        <f t="shared" si="14"/>
        <v>2</v>
      </c>
      <c r="F104" s="114">
        <f t="shared" si="15"/>
        <v>0.1</v>
      </c>
    </row>
    <row r="105" spans="1:6" x14ac:dyDescent="0.2">
      <c r="A105" s="115">
        <v>6</v>
      </c>
      <c r="B105" s="116" t="s">
        <v>118</v>
      </c>
      <c r="C105" s="133">
        <v>2495</v>
      </c>
      <c r="D105" s="133">
        <v>2431</v>
      </c>
      <c r="E105" s="133">
        <f t="shared" si="14"/>
        <v>-64</v>
      </c>
      <c r="F105" s="114">
        <f t="shared" si="15"/>
        <v>-2.5651302605210421E-2</v>
      </c>
    </row>
    <row r="106" spans="1:6" x14ac:dyDescent="0.2">
      <c r="A106" s="115">
        <v>7</v>
      </c>
      <c r="B106" s="116" t="s">
        <v>119</v>
      </c>
      <c r="C106" s="133">
        <v>2751</v>
      </c>
      <c r="D106" s="133">
        <v>2671</v>
      </c>
      <c r="E106" s="133">
        <f t="shared" si="14"/>
        <v>-80</v>
      </c>
      <c r="F106" s="114">
        <f t="shared" si="15"/>
        <v>-2.9080334423845874E-2</v>
      </c>
    </row>
    <row r="107" spans="1:6" x14ac:dyDescent="0.2">
      <c r="A107" s="115">
        <v>8</v>
      </c>
      <c r="B107" s="116" t="s">
        <v>120</v>
      </c>
      <c r="C107" s="133">
        <v>130</v>
      </c>
      <c r="D107" s="133">
        <v>122</v>
      </c>
      <c r="E107" s="133">
        <f t="shared" si="14"/>
        <v>-8</v>
      </c>
      <c r="F107" s="114">
        <f t="shared" si="15"/>
        <v>-6.1538461538461542E-2</v>
      </c>
    </row>
    <row r="108" spans="1:6" x14ac:dyDescent="0.2">
      <c r="A108" s="115">
        <v>9</v>
      </c>
      <c r="B108" s="116" t="s">
        <v>121</v>
      </c>
      <c r="C108" s="133">
        <v>296</v>
      </c>
      <c r="D108" s="133">
        <v>301</v>
      </c>
      <c r="E108" s="133">
        <f t="shared" si="14"/>
        <v>5</v>
      </c>
      <c r="F108" s="114">
        <f t="shared" si="15"/>
        <v>1.6891891891891893E-2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18936</v>
      </c>
      <c r="D111" s="134">
        <f>SUM(D100:D110)</f>
        <v>18453</v>
      </c>
      <c r="E111" s="134">
        <f t="shared" si="14"/>
        <v>-483</v>
      </c>
      <c r="F111" s="120">
        <f t="shared" si="15"/>
        <v>-2.5506970849176171E-2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36126</v>
      </c>
      <c r="D113" s="133">
        <v>33740</v>
      </c>
      <c r="E113" s="133">
        <f t="shared" ref="E113:E124" si="16">D113-C113</f>
        <v>-2386</v>
      </c>
      <c r="F113" s="114">
        <f t="shared" ref="F113:F124" si="17">IF(C113=0,0,E113/C113)</f>
        <v>-6.6046614626584732E-2</v>
      </c>
    </row>
    <row r="114" spans="1:6" x14ac:dyDescent="0.2">
      <c r="A114" s="115">
        <v>2</v>
      </c>
      <c r="B114" s="116" t="s">
        <v>114</v>
      </c>
      <c r="C114" s="133">
        <v>14559</v>
      </c>
      <c r="D114" s="133">
        <v>15475</v>
      </c>
      <c r="E114" s="133">
        <f t="shared" si="16"/>
        <v>916</v>
      </c>
      <c r="F114" s="114">
        <f t="shared" si="17"/>
        <v>6.2916409094031178E-2</v>
      </c>
    </row>
    <row r="115" spans="1:6" x14ac:dyDescent="0.2">
      <c r="A115" s="115">
        <v>3</v>
      </c>
      <c r="B115" s="116" t="s">
        <v>115</v>
      </c>
      <c r="C115" s="133">
        <v>24584</v>
      </c>
      <c r="D115" s="133">
        <v>26165</v>
      </c>
      <c r="E115" s="133">
        <f t="shared" si="16"/>
        <v>1581</v>
      </c>
      <c r="F115" s="114">
        <f t="shared" si="17"/>
        <v>6.4310120403514484E-2</v>
      </c>
    </row>
    <row r="116" spans="1:6" x14ac:dyDescent="0.2">
      <c r="A116" s="115">
        <v>4</v>
      </c>
      <c r="B116" s="116" t="s">
        <v>116</v>
      </c>
      <c r="C116" s="133">
        <v>2036</v>
      </c>
      <c r="D116" s="133">
        <v>0</v>
      </c>
      <c r="E116" s="133">
        <f t="shared" si="16"/>
        <v>-2036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71</v>
      </c>
      <c r="D117" s="133">
        <v>74</v>
      </c>
      <c r="E117" s="133">
        <f t="shared" si="16"/>
        <v>3</v>
      </c>
      <c r="F117" s="114">
        <f t="shared" si="17"/>
        <v>4.2253521126760563E-2</v>
      </c>
    </row>
    <row r="118" spans="1:6" x14ac:dyDescent="0.2">
      <c r="A118" s="115">
        <v>6</v>
      </c>
      <c r="B118" s="116" t="s">
        <v>118</v>
      </c>
      <c r="C118" s="133">
        <v>10396</v>
      </c>
      <c r="D118" s="133">
        <v>9569</v>
      </c>
      <c r="E118" s="133">
        <f t="shared" si="16"/>
        <v>-827</v>
      </c>
      <c r="F118" s="114">
        <f t="shared" si="17"/>
        <v>-7.9549826856483263E-2</v>
      </c>
    </row>
    <row r="119" spans="1:6" x14ac:dyDescent="0.2">
      <c r="A119" s="115">
        <v>7</v>
      </c>
      <c r="B119" s="116" t="s">
        <v>119</v>
      </c>
      <c r="C119" s="133">
        <v>11195</v>
      </c>
      <c r="D119" s="133">
        <v>10584</v>
      </c>
      <c r="E119" s="133">
        <f t="shared" si="16"/>
        <v>-611</v>
      </c>
      <c r="F119" s="114">
        <f t="shared" si="17"/>
        <v>-5.4577936578829832E-2</v>
      </c>
    </row>
    <row r="120" spans="1:6" x14ac:dyDescent="0.2">
      <c r="A120" s="115">
        <v>8</v>
      </c>
      <c r="B120" s="116" t="s">
        <v>120</v>
      </c>
      <c r="C120" s="133">
        <v>531</v>
      </c>
      <c r="D120" s="133">
        <v>642</v>
      </c>
      <c r="E120" s="133">
        <f t="shared" si="16"/>
        <v>111</v>
      </c>
      <c r="F120" s="114">
        <f t="shared" si="17"/>
        <v>0.20903954802259886</v>
      </c>
    </row>
    <row r="121" spans="1:6" x14ac:dyDescent="0.2">
      <c r="A121" s="115">
        <v>9</v>
      </c>
      <c r="B121" s="116" t="s">
        <v>121</v>
      </c>
      <c r="C121" s="133">
        <v>1332</v>
      </c>
      <c r="D121" s="133">
        <v>1191</v>
      </c>
      <c r="E121" s="133">
        <f t="shared" si="16"/>
        <v>-141</v>
      </c>
      <c r="F121" s="114">
        <f t="shared" si="17"/>
        <v>-0.10585585585585586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100830</v>
      </c>
      <c r="D124" s="134">
        <f>SUM(D113:D123)</f>
        <v>97440</v>
      </c>
      <c r="E124" s="134">
        <f t="shared" si="16"/>
        <v>-3390</v>
      </c>
      <c r="F124" s="120">
        <f t="shared" si="17"/>
        <v>-3.3620946146980066E-2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32884</v>
      </c>
      <c r="D126" s="133">
        <v>34024</v>
      </c>
      <c r="E126" s="133">
        <f t="shared" ref="E126:E137" si="18">D126-C126</f>
        <v>1140</v>
      </c>
      <c r="F126" s="114">
        <f t="shared" ref="F126:F137" si="19">IF(C126=0,0,E126/C126)</f>
        <v>3.4667315411750395E-2</v>
      </c>
    </row>
    <row r="127" spans="1:6" x14ac:dyDescent="0.2">
      <c r="A127" s="115">
        <v>2</v>
      </c>
      <c r="B127" s="116" t="s">
        <v>114</v>
      </c>
      <c r="C127" s="133">
        <v>14125</v>
      </c>
      <c r="D127" s="133">
        <v>16037</v>
      </c>
      <c r="E127" s="133">
        <f t="shared" si="18"/>
        <v>1912</v>
      </c>
      <c r="F127" s="114">
        <f t="shared" si="19"/>
        <v>0.13536283185840708</v>
      </c>
    </row>
    <row r="128" spans="1:6" x14ac:dyDescent="0.2">
      <c r="A128" s="115">
        <v>3</v>
      </c>
      <c r="B128" s="116" t="s">
        <v>115</v>
      </c>
      <c r="C128" s="133">
        <v>75804</v>
      </c>
      <c r="D128" s="133">
        <v>87798</v>
      </c>
      <c r="E128" s="133">
        <f t="shared" si="18"/>
        <v>11994</v>
      </c>
      <c r="F128" s="114">
        <f t="shared" si="19"/>
        <v>0.15822384043058413</v>
      </c>
    </row>
    <row r="129" spans="1:6" x14ac:dyDescent="0.2">
      <c r="A129" s="115">
        <v>4</v>
      </c>
      <c r="B129" s="116" t="s">
        <v>116</v>
      </c>
      <c r="C129" s="133">
        <v>13178</v>
      </c>
      <c r="D129" s="133">
        <v>0</v>
      </c>
      <c r="E129" s="133">
        <f t="shared" si="18"/>
        <v>-13178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462</v>
      </c>
      <c r="D130" s="133">
        <v>418</v>
      </c>
      <c r="E130" s="133">
        <f t="shared" si="18"/>
        <v>-44</v>
      </c>
      <c r="F130" s="114">
        <f t="shared" si="19"/>
        <v>-9.5238095238095233E-2</v>
      </c>
    </row>
    <row r="131" spans="1:6" x14ac:dyDescent="0.2">
      <c r="A131" s="115">
        <v>6</v>
      </c>
      <c r="B131" s="116" t="s">
        <v>118</v>
      </c>
      <c r="C131" s="133">
        <v>38037</v>
      </c>
      <c r="D131" s="133">
        <v>38779</v>
      </c>
      <c r="E131" s="133">
        <f t="shared" si="18"/>
        <v>742</v>
      </c>
      <c r="F131" s="114">
        <f t="shared" si="19"/>
        <v>1.9507321818229617E-2</v>
      </c>
    </row>
    <row r="132" spans="1:6" x14ac:dyDescent="0.2">
      <c r="A132" s="115">
        <v>7</v>
      </c>
      <c r="B132" s="116" t="s">
        <v>119</v>
      </c>
      <c r="C132" s="133">
        <v>40372</v>
      </c>
      <c r="D132" s="133">
        <v>42909</v>
      </c>
      <c r="E132" s="133">
        <f t="shared" si="18"/>
        <v>2537</v>
      </c>
      <c r="F132" s="114">
        <f t="shared" si="19"/>
        <v>6.284058258198752E-2</v>
      </c>
    </row>
    <row r="133" spans="1:6" x14ac:dyDescent="0.2">
      <c r="A133" s="115">
        <v>8</v>
      </c>
      <c r="B133" s="116" t="s">
        <v>120</v>
      </c>
      <c r="C133" s="133">
        <v>1511</v>
      </c>
      <c r="D133" s="133">
        <v>1420</v>
      </c>
      <c r="E133" s="133">
        <f t="shared" si="18"/>
        <v>-91</v>
      </c>
      <c r="F133" s="114">
        <f t="shared" si="19"/>
        <v>-6.0225016545334215E-2</v>
      </c>
    </row>
    <row r="134" spans="1:6" x14ac:dyDescent="0.2">
      <c r="A134" s="115">
        <v>9</v>
      </c>
      <c r="B134" s="116" t="s">
        <v>121</v>
      </c>
      <c r="C134" s="133">
        <v>16266</v>
      </c>
      <c r="D134" s="133">
        <v>15230</v>
      </c>
      <c r="E134" s="133">
        <f t="shared" si="18"/>
        <v>-1036</v>
      </c>
      <c r="F134" s="114">
        <f t="shared" si="19"/>
        <v>-6.3691134882577161E-2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232639</v>
      </c>
      <c r="D137" s="134">
        <f>SUM(D126:D136)</f>
        <v>236615</v>
      </c>
      <c r="E137" s="134">
        <f t="shared" si="18"/>
        <v>3976</v>
      </c>
      <c r="F137" s="120">
        <f t="shared" si="19"/>
        <v>1.7090857508844176E-2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20066673</v>
      </c>
      <c r="D142" s="113">
        <v>22656573</v>
      </c>
      <c r="E142" s="113">
        <f t="shared" ref="E142:E153" si="20">D142-C142</f>
        <v>2589900</v>
      </c>
      <c r="F142" s="114">
        <f t="shared" ref="F142:F153" si="21">IF(C142=0,0,E142/C142)</f>
        <v>0.12906474331843648</v>
      </c>
    </row>
    <row r="143" spans="1:6" x14ac:dyDescent="0.2">
      <c r="A143" s="115">
        <v>2</v>
      </c>
      <c r="B143" s="116" t="s">
        <v>114</v>
      </c>
      <c r="C143" s="113">
        <v>9183965</v>
      </c>
      <c r="D143" s="113">
        <v>9974412</v>
      </c>
      <c r="E143" s="113">
        <f t="shared" si="20"/>
        <v>790447</v>
      </c>
      <c r="F143" s="114">
        <f t="shared" si="21"/>
        <v>8.6068163369525039E-2</v>
      </c>
    </row>
    <row r="144" spans="1:6" x14ac:dyDescent="0.2">
      <c r="A144" s="115">
        <v>3</v>
      </c>
      <c r="B144" s="116" t="s">
        <v>115</v>
      </c>
      <c r="C144" s="113">
        <v>73641893</v>
      </c>
      <c r="D144" s="113">
        <v>86816563</v>
      </c>
      <c r="E144" s="113">
        <f t="shared" si="20"/>
        <v>13174670</v>
      </c>
      <c r="F144" s="114">
        <f t="shared" si="21"/>
        <v>0.17890183784384794</v>
      </c>
    </row>
    <row r="145" spans="1:6" x14ac:dyDescent="0.2">
      <c r="A145" s="115">
        <v>4</v>
      </c>
      <c r="B145" s="116" t="s">
        <v>116</v>
      </c>
      <c r="C145" s="113">
        <v>10934266</v>
      </c>
      <c r="D145" s="113">
        <v>0</v>
      </c>
      <c r="E145" s="113">
        <f t="shared" si="20"/>
        <v>-10934266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395840</v>
      </c>
      <c r="D146" s="113">
        <v>372320</v>
      </c>
      <c r="E146" s="113">
        <f t="shared" si="20"/>
        <v>-23520</v>
      </c>
      <c r="F146" s="114">
        <f t="shared" si="21"/>
        <v>-5.9417946645109132E-2</v>
      </c>
    </row>
    <row r="147" spans="1:6" x14ac:dyDescent="0.2">
      <c r="A147" s="115">
        <v>6</v>
      </c>
      <c r="B147" s="116" t="s">
        <v>118</v>
      </c>
      <c r="C147" s="113">
        <v>22080604</v>
      </c>
      <c r="D147" s="113">
        <v>21944846</v>
      </c>
      <c r="E147" s="113">
        <f t="shared" si="20"/>
        <v>-135758</v>
      </c>
      <c r="F147" s="114">
        <f t="shared" si="21"/>
        <v>-6.1482919579554981E-3</v>
      </c>
    </row>
    <row r="148" spans="1:6" x14ac:dyDescent="0.2">
      <c r="A148" s="115">
        <v>7</v>
      </c>
      <c r="B148" s="116" t="s">
        <v>119</v>
      </c>
      <c r="C148" s="113">
        <v>22350538</v>
      </c>
      <c r="D148" s="113">
        <v>23401243</v>
      </c>
      <c r="E148" s="113">
        <f t="shared" si="20"/>
        <v>1050705</v>
      </c>
      <c r="F148" s="114">
        <f t="shared" si="21"/>
        <v>4.701027778391733E-2</v>
      </c>
    </row>
    <row r="149" spans="1:6" x14ac:dyDescent="0.2">
      <c r="A149" s="115">
        <v>8</v>
      </c>
      <c r="B149" s="116" t="s">
        <v>120</v>
      </c>
      <c r="C149" s="113">
        <v>1129461</v>
      </c>
      <c r="D149" s="113">
        <v>1283901</v>
      </c>
      <c r="E149" s="113">
        <f t="shared" si="20"/>
        <v>154440</v>
      </c>
      <c r="F149" s="114">
        <f t="shared" si="21"/>
        <v>0.13673778908700698</v>
      </c>
    </row>
    <row r="150" spans="1:6" x14ac:dyDescent="0.2">
      <c r="A150" s="115">
        <v>9</v>
      </c>
      <c r="B150" s="116" t="s">
        <v>121</v>
      </c>
      <c r="C150" s="113">
        <v>23130629</v>
      </c>
      <c r="D150" s="113">
        <v>24187923</v>
      </c>
      <c r="E150" s="113">
        <f t="shared" si="20"/>
        <v>1057294</v>
      </c>
      <c r="F150" s="114">
        <f t="shared" si="21"/>
        <v>4.5709695140586107E-2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182913869</v>
      </c>
      <c r="D153" s="119">
        <f>SUM(D142:D152)</f>
        <v>190637781</v>
      </c>
      <c r="E153" s="119">
        <f t="shared" si="20"/>
        <v>7723912</v>
      </c>
      <c r="F153" s="120">
        <f t="shared" si="21"/>
        <v>4.222704403021512E-2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3416526</v>
      </c>
      <c r="D155" s="113">
        <v>3330011</v>
      </c>
      <c r="E155" s="113">
        <f t="shared" ref="E155:E166" si="22">D155-C155</f>
        <v>-86515</v>
      </c>
      <c r="F155" s="114">
        <f t="shared" ref="F155:F166" si="23">IF(C155=0,0,E155/C155)</f>
        <v>-2.5322505960733214E-2</v>
      </c>
    </row>
    <row r="156" spans="1:6" x14ac:dyDescent="0.2">
      <c r="A156" s="115">
        <v>2</v>
      </c>
      <c r="B156" s="116" t="s">
        <v>114</v>
      </c>
      <c r="C156" s="113">
        <v>2105667</v>
      </c>
      <c r="D156" s="113">
        <v>2289180</v>
      </c>
      <c r="E156" s="113">
        <f t="shared" si="22"/>
        <v>183513</v>
      </c>
      <c r="F156" s="114">
        <f t="shared" si="23"/>
        <v>8.7151957075833925E-2</v>
      </c>
    </row>
    <row r="157" spans="1:6" x14ac:dyDescent="0.2">
      <c r="A157" s="115">
        <v>3</v>
      </c>
      <c r="B157" s="116" t="s">
        <v>115</v>
      </c>
      <c r="C157" s="113">
        <v>9962587</v>
      </c>
      <c r="D157" s="113">
        <v>11288075</v>
      </c>
      <c r="E157" s="113">
        <f t="shared" si="22"/>
        <v>1325488</v>
      </c>
      <c r="F157" s="114">
        <f t="shared" si="23"/>
        <v>0.13304656712157192</v>
      </c>
    </row>
    <row r="158" spans="1:6" x14ac:dyDescent="0.2">
      <c r="A158" s="115">
        <v>4</v>
      </c>
      <c r="B158" s="116" t="s">
        <v>116</v>
      </c>
      <c r="C158" s="113">
        <v>1710327</v>
      </c>
      <c r="D158" s="113">
        <v>0</v>
      </c>
      <c r="E158" s="113">
        <f t="shared" si="22"/>
        <v>-1710327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70290</v>
      </c>
      <c r="D159" s="113">
        <v>74277</v>
      </c>
      <c r="E159" s="113">
        <f t="shared" si="22"/>
        <v>3987</v>
      </c>
      <c r="F159" s="114">
        <f t="shared" si="23"/>
        <v>5.6722151088348272E-2</v>
      </c>
    </row>
    <row r="160" spans="1:6" x14ac:dyDescent="0.2">
      <c r="A160" s="115">
        <v>6</v>
      </c>
      <c r="B160" s="116" t="s">
        <v>118</v>
      </c>
      <c r="C160" s="113">
        <v>8798629</v>
      </c>
      <c r="D160" s="113">
        <v>7992691</v>
      </c>
      <c r="E160" s="113">
        <f t="shared" si="22"/>
        <v>-805938</v>
      </c>
      <c r="F160" s="114">
        <f t="shared" si="23"/>
        <v>-9.1598134209318297E-2</v>
      </c>
    </row>
    <row r="161" spans="1:6" x14ac:dyDescent="0.2">
      <c r="A161" s="115">
        <v>7</v>
      </c>
      <c r="B161" s="116" t="s">
        <v>119</v>
      </c>
      <c r="C161" s="113">
        <v>8063418</v>
      </c>
      <c r="D161" s="113">
        <v>7931566</v>
      </c>
      <c r="E161" s="113">
        <f t="shared" si="22"/>
        <v>-131852</v>
      </c>
      <c r="F161" s="114">
        <f t="shared" si="23"/>
        <v>-1.6351874602060813E-2</v>
      </c>
    </row>
    <row r="162" spans="1:6" x14ac:dyDescent="0.2">
      <c r="A162" s="115">
        <v>8</v>
      </c>
      <c r="B162" s="116" t="s">
        <v>120</v>
      </c>
      <c r="C162" s="113">
        <v>715183</v>
      </c>
      <c r="D162" s="113">
        <v>807429</v>
      </c>
      <c r="E162" s="113">
        <f t="shared" si="22"/>
        <v>92246</v>
      </c>
      <c r="F162" s="114">
        <f t="shared" si="23"/>
        <v>0.12898237234386165</v>
      </c>
    </row>
    <row r="163" spans="1:6" x14ac:dyDescent="0.2">
      <c r="A163" s="115">
        <v>9</v>
      </c>
      <c r="B163" s="116" t="s">
        <v>121</v>
      </c>
      <c r="C163" s="113">
        <v>22919921</v>
      </c>
      <c r="D163" s="113">
        <v>23979458</v>
      </c>
      <c r="E163" s="113">
        <f t="shared" si="22"/>
        <v>1059537</v>
      </c>
      <c r="F163" s="114">
        <f t="shared" si="23"/>
        <v>4.6227777137626262E-2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57762548</v>
      </c>
      <c r="D166" s="119">
        <f>SUM(D155:D165)</f>
        <v>57692687</v>
      </c>
      <c r="E166" s="119">
        <f t="shared" si="22"/>
        <v>-69861</v>
      </c>
      <c r="F166" s="120">
        <f t="shared" si="23"/>
        <v>-1.209451494418148E-3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5804</v>
      </c>
      <c r="D168" s="133">
        <v>6201</v>
      </c>
      <c r="E168" s="133">
        <f t="shared" ref="E168:E179" si="24">D168-C168</f>
        <v>397</v>
      </c>
      <c r="F168" s="114">
        <f t="shared" ref="F168:F179" si="25">IF(C168=0,0,E168/C168)</f>
        <v>6.8401102687801515E-2</v>
      </c>
    </row>
    <row r="169" spans="1:6" x14ac:dyDescent="0.2">
      <c r="A169" s="115">
        <v>2</v>
      </c>
      <c r="B169" s="116" t="s">
        <v>114</v>
      </c>
      <c r="C169" s="133">
        <v>2414</v>
      </c>
      <c r="D169" s="133">
        <v>2610</v>
      </c>
      <c r="E169" s="133">
        <f t="shared" si="24"/>
        <v>196</v>
      </c>
      <c r="F169" s="114">
        <f t="shared" si="25"/>
        <v>8.1193040596520299E-2</v>
      </c>
    </row>
    <row r="170" spans="1:6" x14ac:dyDescent="0.2">
      <c r="A170" s="115">
        <v>3</v>
      </c>
      <c r="B170" s="116" t="s">
        <v>115</v>
      </c>
      <c r="C170" s="133">
        <v>30282</v>
      </c>
      <c r="D170" s="133">
        <v>33893</v>
      </c>
      <c r="E170" s="133">
        <f t="shared" si="24"/>
        <v>3611</v>
      </c>
      <c r="F170" s="114">
        <f t="shared" si="25"/>
        <v>0.11924575655504921</v>
      </c>
    </row>
    <row r="171" spans="1:6" x14ac:dyDescent="0.2">
      <c r="A171" s="115">
        <v>4</v>
      </c>
      <c r="B171" s="116" t="s">
        <v>116</v>
      </c>
      <c r="C171" s="133">
        <v>5236</v>
      </c>
      <c r="D171" s="133">
        <v>0</v>
      </c>
      <c r="E171" s="133">
        <f t="shared" si="24"/>
        <v>-5236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175</v>
      </c>
      <c r="D172" s="133">
        <v>143</v>
      </c>
      <c r="E172" s="133">
        <f t="shared" si="24"/>
        <v>-32</v>
      </c>
      <c r="F172" s="114">
        <f t="shared" si="25"/>
        <v>-0.18285714285714286</v>
      </c>
    </row>
    <row r="173" spans="1:6" x14ac:dyDescent="0.2">
      <c r="A173" s="115">
        <v>6</v>
      </c>
      <c r="B173" s="116" t="s">
        <v>118</v>
      </c>
      <c r="C173" s="133">
        <v>7194</v>
      </c>
      <c r="D173" s="133">
        <v>6839</v>
      </c>
      <c r="E173" s="133">
        <f t="shared" si="24"/>
        <v>-355</v>
      </c>
      <c r="F173" s="114">
        <f t="shared" si="25"/>
        <v>-4.9346677787044761E-2</v>
      </c>
    </row>
    <row r="174" spans="1:6" x14ac:dyDescent="0.2">
      <c r="A174" s="115">
        <v>7</v>
      </c>
      <c r="B174" s="116" t="s">
        <v>119</v>
      </c>
      <c r="C174" s="133">
        <v>7398</v>
      </c>
      <c r="D174" s="133">
        <v>7255</v>
      </c>
      <c r="E174" s="133">
        <f t="shared" si="24"/>
        <v>-143</v>
      </c>
      <c r="F174" s="114">
        <f t="shared" si="25"/>
        <v>-1.9329548526628819E-2</v>
      </c>
    </row>
    <row r="175" spans="1:6" x14ac:dyDescent="0.2">
      <c r="A175" s="115">
        <v>8</v>
      </c>
      <c r="B175" s="116" t="s">
        <v>120</v>
      </c>
      <c r="C175" s="133">
        <v>453</v>
      </c>
      <c r="D175" s="133">
        <v>472</v>
      </c>
      <c r="E175" s="133">
        <f t="shared" si="24"/>
        <v>19</v>
      </c>
      <c r="F175" s="114">
        <f t="shared" si="25"/>
        <v>4.194260485651214E-2</v>
      </c>
    </row>
    <row r="176" spans="1:6" x14ac:dyDescent="0.2">
      <c r="A176" s="115">
        <v>9</v>
      </c>
      <c r="B176" s="116" t="s">
        <v>121</v>
      </c>
      <c r="C176" s="133">
        <v>8835</v>
      </c>
      <c r="D176" s="133">
        <v>8647</v>
      </c>
      <c r="E176" s="133">
        <f t="shared" si="24"/>
        <v>-188</v>
      </c>
      <c r="F176" s="114">
        <f t="shared" si="25"/>
        <v>-2.1279003961516694E-2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67791</v>
      </c>
      <c r="D179" s="134">
        <f>SUM(D168:D178)</f>
        <v>66060</v>
      </c>
      <c r="E179" s="134">
        <f t="shared" si="24"/>
        <v>-1731</v>
      </c>
      <c r="F179" s="120">
        <f t="shared" si="25"/>
        <v>-2.5534362968535645E-2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51727848</v>
      </c>
      <c r="D15" s="157">
        <v>53194778</v>
      </c>
      <c r="E15" s="157">
        <f>+D15-C15</f>
        <v>1466930</v>
      </c>
      <c r="F15" s="161">
        <f>IF(C15=0,0,E15/C15)</f>
        <v>2.8358612560104954E-2</v>
      </c>
    </row>
    <row r="16" spans="1:6" ht="15" customHeight="1" x14ac:dyDescent="0.2">
      <c r="A16" s="147">
        <v>2</v>
      </c>
      <c r="B16" s="160" t="s">
        <v>157</v>
      </c>
      <c r="C16" s="157">
        <v>10838798</v>
      </c>
      <c r="D16" s="157">
        <v>11387101</v>
      </c>
      <c r="E16" s="157">
        <f>+D16-C16</f>
        <v>548303</v>
      </c>
      <c r="F16" s="161">
        <f>IF(C16=0,0,E16/C16)</f>
        <v>5.0587066942293785E-2</v>
      </c>
    </row>
    <row r="17" spans="1:6" ht="15" customHeight="1" x14ac:dyDescent="0.2">
      <c r="A17" s="147">
        <v>3</v>
      </c>
      <c r="B17" s="160" t="s">
        <v>158</v>
      </c>
      <c r="C17" s="157">
        <v>81647354</v>
      </c>
      <c r="D17" s="157">
        <v>83395121</v>
      </c>
      <c r="E17" s="157">
        <f>+D17-C17</f>
        <v>1747767</v>
      </c>
      <c r="F17" s="161">
        <f>IF(C17=0,0,E17/C17)</f>
        <v>2.1406290766017966E-2</v>
      </c>
    </row>
    <row r="18" spans="1:6" ht="15.75" customHeight="1" x14ac:dyDescent="0.25">
      <c r="A18" s="147"/>
      <c r="B18" s="162" t="s">
        <v>159</v>
      </c>
      <c r="C18" s="158">
        <f>SUM(C15:C17)</f>
        <v>144214000</v>
      </c>
      <c r="D18" s="158">
        <f>SUM(D15:D17)</f>
        <v>147977000</v>
      </c>
      <c r="E18" s="158">
        <f>+D18-C18</f>
        <v>3763000</v>
      </c>
      <c r="F18" s="159">
        <f>IF(C18=0,0,E18/C18)</f>
        <v>2.6093167098894698E-2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13134644</v>
      </c>
      <c r="D21" s="157">
        <v>13655559</v>
      </c>
      <c r="E21" s="157">
        <f>+D21-C21</f>
        <v>520915</v>
      </c>
      <c r="F21" s="161">
        <f>IF(C21=0,0,E21/C21)</f>
        <v>3.9659620770840842E-2</v>
      </c>
    </row>
    <row r="22" spans="1:6" ht="15" customHeight="1" x14ac:dyDescent="0.2">
      <c r="A22" s="147">
        <v>2</v>
      </c>
      <c r="B22" s="160" t="s">
        <v>162</v>
      </c>
      <c r="C22" s="157">
        <v>2452958</v>
      </c>
      <c r="D22" s="157">
        <v>2563288</v>
      </c>
      <c r="E22" s="157">
        <f>+D22-C22</f>
        <v>110330</v>
      </c>
      <c r="F22" s="161">
        <f>IF(C22=0,0,E22/C22)</f>
        <v>4.4978348589743485E-2</v>
      </c>
    </row>
    <row r="23" spans="1:6" ht="15" customHeight="1" x14ac:dyDescent="0.2">
      <c r="A23" s="147">
        <v>3</v>
      </c>
      <c r="B23" s="160" t="s">
        <v>163</v>
      </c>
      <c r="C23" s="157">
        <v>31766398</v>
      </c>
      <c r="D23" s="157">
        <v>31797153</v>
      </c>
      <c r="E23" s="157">
        <f>+D23-C23</f>
        <v>30755</v>
      </c>
      <c r="F23" s="161">
        <f>IF(C23=0,0,E23/C23)</f>
        <v>9.6816138864721146E-4</v>
      </c>
    </row>
    <row r="24" spans="1:6" ht="15.75" customHeight="1" x14ac:dyDescent="0.25">
      <c r="A24" s="147"/>
      <c r="B24" s="162" t="s">
        <v>164</v>
      </c>
      <c r="C24" s="158">
        <f>SUM(C21:C23)</f>
        <v>47354000</v>
      </c>
      <c r="D24" s="158">
        <f>SUM(D21:D23)</f>
        <v>48016000</v>
      </c>
      <c r="E24" s="158">
        <f>+D24-C24</f>
        <v>662000</v>
      </c>
      <c r="F24" s="159">
        <f>IF(C24=0,0,E24/C24)</f>
        <v>1.3979811631541158E-2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2200150</v>
      </c>
      <c r="D27" s="157">
        <v>1957957</v>
      </c>
      <c r="E27" s="157">
        <f>+D27-C27</f>
        <v>-242193</v>
      </c>
      <c r="F27" s="161">
        <f>IF(C27=0,0,E27/C27)</f>
        <v>-0.11008022180305889</v>
      </c>
    </row>
    <row r="28" spans="1:6" ht="15" customHeight="1" x14ac:dyDescent="0.2">
      <c r="A28" s="147">
        <v>2</v>
      </c>
      <c r="B28" s="160" t="s">
        <v>167</v>
      </c>
      <c r="C28" s="157">
        <v>23346000</v>
      </c>
      <c r="D28" s="157">
        <v>22467000</v>
      </c>
      <c r="E28" s="157">
        <f>+D28-C28</f>
        <v>-879000</v>
      </c>
      <c r="F28" s="161">
        <f>IF(C28=0,0,E28/C28)</f>
        <v>-3.7650989462863015E-2</v>
      </c>
    </row>
    <row r="29" spans="1:6" ht="15" customHeight="1" x14ac:dyDescent="0.2">
      <c r="A29" s="147">
        <v>3</v>
      </c>
      <c r="B29" s="160" t="s">
        <v>168</v>
      </c>
      <c r="C29" s="157">
        <v>37845088</v>
      </c>
      <c r="D29" s="157">
        <v>41095717</v>
      </c>
      <c r="E29" s="157">
        <f>+D29-C29</f>
        <v>3250629</v>
      </c>
      <c r="F29" s="161">
        <f>IF(C29=0,0,E29/C29)</f>
        <v>8.5893022629515356E-2</v>
      </c>
    </row>
    <row r="30" spans="1:6" ht="15.75" customHeight="1" x14ac:dyDescent="0.25">
      <c r="A30" s="147"/>
      <c r="B30" s="162" t="s">
        <v>169</v>
      </c>
      <c r="C30" s="158">
        <f>SUM(C27:C29)</f>
        <v>63391238</v>
      </c>
      <c r="D30" s="158">
        <f>SUM(D27:D29)</f>
        <v>65520674</v>
      </c>
      <c r="E30" s="158">
        <f>+D30-C30</f>
        <v>2129436</v>
      </c>
      <c r="F30" s="159">
        <f>IF(C30=0,0,E30/C30)</f>
        <v>3.3591961084590269E-2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37138000</v>
      </c>
      <c r="D33" s="157">
        <v>37720000</v>
      </c>
      <c r="E33" s="157">
        <f>+D33-C33</f>
        <v>582000</v>
      </c>
      <c r="F33" s="161">
        <f>IF(C33=0,0,E33/C33)</f>
        <v>1.5671280090473371E-2</v>
      </c>
    </row>
    <row r="34" spans="1:6" ht="15" customHeight="1" x14ac:dyDescent="0.2">
      <c r="A34" s="147">
        <v>2</v>
      </c>
      <c r="B34" s="160" t="s">
        <v>173</v>
      </c>
      <c r="C34" s="157">
        <v>10127000</v>
      </c>
      <c r="D34" s="157">
        <v>10002000</v>
      </c>
      <c r="E34" s="157">
        <f>+D34-C34</f>
        <v>-125000</v>
      </c>
      <c r="F34" s="161">
        <f>IF(C34=0,0,E34/C34)</f>
        <v>-1.2343240841315295E-2</v>
      </c>
    </row>
    <row r="35" spans="1:6" ht="15.75" customHeight="1" x14ac:dyDescent="0.25">
      <c r="A35" s="147"/>
      <c r="B35" s="162" t="s">
        <v>174</v>
      </c>
      <c r="C35" s="158">
        <f>SUM(C33:C34)</f>
        <v>47265000</v>
      </c>
      <c r="D35" s="158">
        <f>SUM(D33:D34)</f>
        <v>47722000</v>
      </c>
      <c r="E35" s="158">
        <f>+D35-C35</f>
        <v>457000</v>
      </c>
      <c r="F35" s="159">
        <f>IF(C35=0,0,E35/C35)</f>
        <v>9.6688881836454032E-3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10497000</v>
      </c>
      <c r="D38" s="157">
        <v>11859000</v>
      </c>
      <c r="E38" s="157">
        <f>+D38-C38</f>
        <v>1362000</v>
      </c>
      <c r="F38" s="161">
        <f>IF(C38=0,0,E38/C38)</f>
        <v>0.12975135753072306</v>
      </c>
    </row>
    <row r="39" spans="1:6" ht="15" customHeight="1" x14ac:dyDescent="0.2">
      <c r="A39" s="147">
        <v>2</v>
      </c>
      <c r="B39" s="160" t="s">
        <v>178</v>
      </c>
      <c r="C39" s="157">
        <v>9678000</v>
      </c>
      <c r="D39" s="157">
        <v>10935000</v>
      </c>
      <c r="E39" s="157">
        <f>+D39-C39</f>
        <v>1257000</v>
      </c>
      <c r="F39" s="161">
        <f>IF(C39=0,0,E39/C39)</f>
        <v>0.12988220706757594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20175000</v>
      </c>
      <c r="D41" s="158">
        <f>SUM(D38:D40)</f>
        <v>22794000</v>
      </c>
      <c r="E41" s="158">
        <f>+D41-C41</f>
        <v>2619000</v>
      </c>
      <c r="F41" s="159">
        <f>IF(C41=0,0,E41/C41)</f>
        <v>0.12981412639405204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16623000</v>
      </c>
      <c r="D44" s="157">
        <v>0</v>
      </c>
      <c r="E44" s="157">
        <f>+D44-C44</f>
        <v>-16623000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2724000</v>
      </c>
      <c r="D47" s="157">
        <v>1665000</v>
      </c>
      <c r="E47" s="157">
        <f>+D47-C47</f>
        <v>-1059000</v>
      </c>
      <c r="F47" s="161">
        <f>IF(C47=0,0,E47/C47)</f>
        <v>-0.38876651982378857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2179000</v>
      </c>
      <c r="D50" s="157">
        <v>292000</v>
      </c>
      <c r="E50" s="157">
        <f>+D50-C50</f>
        <v>-1887000</v>
      </c>
      <c r="F50" s="161">
        <f>IF(C50=0,0,E50/C50)</f>
        <v>-0.86599357503441943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281481</v>
      </c>
      <c r="D53" s="157">
        <v>264779</v>
      </c>
      <c r="E53" s="157">
        <f t="shared" ref="E53:E59" si="0">+D53-C53</f>
        <v>-16702</v>
      </c>
      <c r="F53" s="161">
        <f t="shared" ref="F53:F59" si="1">IF(C53=0,0,E53/C53)</f>
        <v>-5.933615412763206E-2</v>
      </c>
    </row>
    <row r="54" spans="1:6" ht="15" customHeight="1" x14ac:dyDescent="0.2">
      <c r="A54" s="147">
        <v>2</v>
      </c>
      <c r="B54" s="160" t="s">
        <v>189</v>
      </c>
      <c r="C54" s="157">
        <v>1553531</v>
      </c>
      <c r="D54" s="157">
        <v>1406730</v>
      </c>
      <c r="E54" s="157">
        <f t="shared" si="0"/>
        <v>-146801</v>
      </c>
      <c r="F54" s="161">
        <f t="shared" si="1"/>
        <v>-9.4495056744924949E-2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3339762</v>
      </c>
      <c r="D56" s="157">
        <v>3351892</v>
      </c>
      <c r="E56" s="157">
        <f t="shared" si="0"/>
        <v>12130</v>
      </c>
      <c r="F56" s="161">
        <f t="shared" si="1"/>
        <v>3.6319953337992346E-3</v>
      </c>
    </row>
    <row r="57" spans="1:6" ht="15" customHeight="1" x14ac:dyDescent="0.2">
      <c r="A57" s="147">
        <v>5</v>
      </c>
      <c r="B57" s="160" t="s">
        <v>192</v>
      </c>
      <c r="C57" s="157">
        <v>243162</v>
      </c>
      <c r="D57" s="157">
        <v>92223</v>
      </c>
      <c r="E57" s="157">
        <f t="shared" si="0"/>
        <v>-150939</v>
      </c>
      <c r="F57" s="161">
        <f t="shared" si="1"/>
        <v>-0.62073432526463834</v>
      </c>
    </row>
    <row r="58" spans="1:6" ht="15" customHeight="1" x14ac:dyDescent="0.2">
      <c r="A58" s="147">
        <v>6</v>
      </c>
      <c r="B58" s="160" t="s">
        <v>193</v>
      </c>
      <c r="C58" s="157">
        <v>42949</v>
      </c>
      <c r="D58" s="157">
        <v>15210</v>
      </c>
      <c r="E58" s="157">
        <f t="shared" si="0"/>
        <v>-27739</v>
      </c>
      <c r="F58" s="161">
        <f t="shared" si="1"/>
        <v>-0.64585904211972345</v>
      </c>
    </row>
    <row r="59" spans="1:6" ht="15.75" customHeight="1" x14ac:dyDescent="0.25">
      <c r="A59" s="147"/>
      <c r="B59" s="162" t="s">
        <v>194</v>
      </c>
      <c r="C59" s="158">
        <f>SUM(C53:C58)</f>
        <v>5460885</v>
      </c>
      <c r="D59" s="158">
        <f>SUM(D53:D58)</f>
        <v>5130834</v>
      </c>
      <c r="E59" s="158">
        <f t="shared" si="0"/>
        <v>-330051</v>
      </c>
      <c r="F59" s="159">
        <f t="shared" si="1"/>
        <v>-6.0439104650619815E-2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317913</v>
      </c>
      <c r="D62" s="157">
        <v>419577</v>
      </c>
      <c r="E62" s="157">
        <f t="shared" ref="E62:E90" si="2">+D62-C62</f>
        <v>101664</v>
      </c>
      <c r="F62" s="161">
        <f t="shared" ref="F62:F90" si="3">IF(C62=0,0,E62/C62)</f>
        <v>0.31978560172122561</v>
      </c>
    </row>
    <row r="63" spans="1:6" ht="15" customHeight="1" x14ac:dyDescent="0.2">
      <c r="A63" s="147">
        <v>2</v>
      </c>
      <c r="B63" s="160" t="s">
        <v>198</v>
      </c>
      <c r="C63" s="157">
        <v>825143</v>
      </c>
      <c r="D63" s="157">
        <v>1546536</v>
      </c>
      <c r="E63" s="157">
        <f t="shared" si="2"/>
        <v>721393</v>
      </c>
      <c r="F63" s="161">
        <f t="shared" si="3"/>
        <v>0.87426421844456048</v>
      </c>
    </row>
    <row r="64" spans="1:6" ht="15" customHeight="1" x14ac:dyDescent="0.2">
      <c r="A64" s="147">
        <v>3</v>
      </c>
      <c r="B64" s="160" t="s">
        <v>199</v>
      </c>
      <c r="C64" s="157">
        <v>774433</v>
      </c>
      <c r="D64" s="157">
        <v>747223</v>
      </c>
      <c r="E64" s="157">
        <f t="shared" si="2"/>
        <v>-27210</v>
      </c>
      <c r="F64" s="161">
        <f t="shared" si="3"/>
        <v>-3.5135382918858052E-2</v>
      </c>
    </row>
    <row r="65" spans="1:6" ht="15" customHeight="1" x14ac:dyDescent="0.2">
      <c r="A65" s="147">
        <v>4</v>
      </c>
      <c r="B65" s="160" t="s">
        <v>200</v>
      </c>
      <c r="C65" s="157">
        <v>614830</v>
      </c>
      <c r="D65" s="157">
        <v>650013</v>
      </c>
      <c r="E65" s="157">
        <f t="shared" si="2"/>
        <v>35183</v>
      </c>
      <c r="F65" s="161">
        <f t="shared" si="3"/>
        <v>5.7223948083209991E-2</v>
      </c>
    </row>
    <row r="66" spans="1:6" ht="15" customHeight="1" x14ac:dyDescent="0.2">
      <c r="A66" s="147">
        <v>5</v>
      </c>
      <c r="B66" s="160" t="s">
        <v>201</v>
      </c>
      <c r="C66" s="157">
        <v>131658</v>
      </c>
      <c r="D66" s="157">
        <v>111821</v>
      </c>
      <c r="E66" s="157">
        <f t="shared" si="2"/>
        <v>-19837</v>
      </c>
      <c r="F66" s="161">
        <f t="shared" si="3"/>
        <v>-0.15067067705722401</v>
      </c>
    </row>
    <row r="67" spans="1:6" ht="15" customHeight="1" x14ac:dyDescent="0.2">
      <c r="A67" s="147">
        <v>6</v>
      </c>
      <c r="B67" s="160" t="s">
        <v>202</v>
      </c>
      <c r="C67" s="157">
        <v>2181168</v>
      </c>
      <c r="D67" s="157">
        <v>2464662</v>
      </c>
      <c r="E67" s="157">
        <f t="shared" si="2"/>
        <v>283494</v>
      </c>
      <c r="F67" s="161">
        <f t="shared" si="3"/>
        <v>0.1299734820976651</v>
      </c>
    </row>
    <row r="68" spans="1:6" ht="15" customHeight="1" x14ac:dyDescent="0.2">
      <c r="A68" s="147">
        <v>7</v>
      </c>
      <c r="B68" s="160" t="s">
        <v>203</v>
      </c>
      <c r="C68" s="157">
        <v>8149963</v>
      </c>
      <c r="D68" s="157">
        <v>10320175</v>
      </c>
      <c r="E68" s="157">
        <f t="shared" si="2"/>
        <v>2170212</v>
      </c>
      <c r="F68" s="161">
        <f t="shared" si="3"/>
        <v>0.26628488988232218</v>
      </c>
    </row>
    <row r="69" spans="1:6" ht="15" customHeight="1" x14ac:dyDescent="0.2">
      <c r="A69" s="147">
        <v>8</v>
      </c>
      <c r="B69" s="160" t="s">
        <v>204</v>
      </c>
      <c r="C69" s="157">
        <v>711655</v>
      </c>
      <c r="D69" s="157">
        <v>735754</v>
      </c>
      <c r="E69" s="157">
        <f t="shared" si="2"/>
        <v>24099</v>
      </c>
      <c r="F69" s="161">
        <f t="shared" si="3"/>
        <v>3.3863318602412686E-2</v>
      </c>
    </row>
    <row r="70" spans="1:6" ht="15" customHeight="1" x14ac:dyDescent="0.2">
      <c r="A70" s="147">
        <v>9</v>
      </c>
      <c r="B70" s="160" t="s">
        <v>205</v>
      </c>
      <c r="C70" s="157">
        <v>634553</v>
      </c>
      <c r="D70" s="157">
        <v>541616</v>
      </c>
      <c r="E70" s="157">
        <f t="shared" si="2"/>
        <v>-92937</v>
      </c>
      <c r="F70" s="161">
        <f t="shared" si="3"/>
        <v>-0.14646057933695059</v>
      </c>
    </row>
    <row r="71" spans="1:6" ht="15" customHeight="1" x14ac:dyDescent="0.2">
      <c r="A71" s="147">
        <v>10</v>
      </c>
      <c r="B71" s="160" t="s">
        <v>206</v>
      </c>
      <c r="C71" s="157">
        <v>4611</v>
      </c>
      <c r="D71" s="157">
        <v>4821</v>
      </c>
      <c r="E71" s="157">
        <f t="shared" si="2"/>
        <v>210</v>
      </c>
      <c r="F71" s="161">
        <f t="shared" si="3"/>
        <v>4.5543266102797658E-2</v>
      </c>
    </row>
    <row r="72" spans="1:6" ht="15" customHeight="1" x14ac:dyDescent="0.2">
      <c r="A72" s="147">
        <v>11</v>
      </c>
      <c r="B72" s="160" t="s">
        <v>207</v>
      </c>
      <c r="C72" s="157">
        <v>159866</v>
      </c>
      <c r="D72" s="157">
        <v>157646</v>
      </c>
      <c r="E72" s="157">
        <f t="shared" si="2"/>
        <v>-2220</v>
      </c>
      <c r="F72" s="161">
        <f t="shared" si="3"/>
        <v>-1.3886630052669111E-2</v>
      </c>
    </row>
    <row r="73" spans="1:6" ht="15" customHeight="1" x14ac:dyDescent="0.2">
      <c r="A73" s="147">
        <v>12</v>
      </c>
      <c r="B73" s="160" t="s">
        <v>208</v>
      </c>
      <c r="C73" s="157">
        <v>5586421</v>
      </c>
      <c r="D73" s="157">
        <v>7891254</v>
      </c>
      <c r="E73" s="157">
        <f t="shared" si="2"/>
        <v>2304833</v>
      </c>
      <c r="F73" s="161">
        <f t="shared" si="3"/>
        <v>0.4125777487948008</v>
      </c>
    </row>
    <row r="74" spans="1:6" ht="15" customHeight="1" x14ac:dyDescent="0.2">
      <c r="A74" s="147">
        <v>13</v>
      </c>
      <c r="B74" s="160" t="s">
        <v>209</v>
      </c>
      <c r="C74" s="157">
        <v>464508</v>
      </c>
      <c r="D74" s="157">
        <v>405026</v>
      </c>
      <c r="E74" s="157">
        <f t="shared" si="2"/>
        <v>-59482</v>
      </c>
      <c r="F74" s="161">
        <f t="shared" si="3"/>
        <v>-0.12805376871873037</v>
      </c>
    </row>
    <row r="75" spans="1:6" ht="15" customHeight="1" x14ac:dyDescent="0.2">
      <c r="A75" s="147">
        <v>14</v>
      </c>
      <c r="B75" s="160" t="s">
        <v>210</v>
      </c>
      <c r="C75" s="157">
        <v>721730</v>
      </c>
      <c r="D75" s="157">
        <v>550862</v>
      </c>
      <c r="E75" s="157">
        <f t="shared" si="2"/>
        <v>-170868</v>
      </c>
      <c r="F75" s="161">
        <f t="shared" si="3"/>
        <v>-0.23674781427957822</v>
      </c>
    </row>
    <row r="76" spans="1:6" ht="15" customHeight="1" x14ac:dyDescent="0.2">
      <c r="A76" s="147">
        <v>15</v>
      </c>
      <c r="B76" s="160" t="s">
        <v>211</v>
      </c>
      <c r="C76" s="157">
        <v>58127</v>
      </c>
      <c r="D76" s="157">
        <v>5180</v>
      </c>
      <c r="E76" s="157">
        <f t="shared" si="2"/>
        <v>-52947</v>
      </c>
      <c r="F76" s="161">
        <f t="shared" si="3"/>
        <v>-0.91088478676002549</v>
      </c>
    </row>
    <row r="77" spans="1:6" ht="15" customHeight="1" x14ac:dyDescent="0.2">
      <c r="A77" s="147">
        <v>16</v>
      </c>
      <c r="B77" s="160" t="s">
        <v>212</v>
      </c>
      <c r="C77" s="157">
        <v>5093205</v>
      </c>
      <c r="D77" s="157">
        <v>5032091</v>
      </c>
      <c r="E77" s="157">
        <f t="shared" si="2"/>
        <v>-61114</v>
      </c>
      <c r="F77" s="161">
        <f t="shared" si="3"/>
        <v>-1.1999124323485899E-2</v>
      </c>
    </row>
    <row r="78" spans="1:6" ht="15" customHeight="1" x14ac:dyDescent="0.2">
      <c r="A78" s="147">
        <v>17</v>
      </c>
      <c r="B78" s="160" t="s">
        <v>213</v>
      </c>
      <c r="C78" s="157">
        <v>728387</v>
      </c>
      <c r="D78" s="157">
        <v>208023</v>
      </c>
      <c r="E78" s="157">
        <f t="shared" si="2"/>
        <v>-520364</v>
      </c>
      <c r="F78" s="161">
        <f t="shared" si="3"/>
        <v>-0.71440594079795494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303205</v>
      </c>
      <c r="D80" s="157">
        <v>609125</v>
      </c>
      <c r="E80" s="157">
        <f t="shared" si="2"/>
        <v>305920</v>
      </c>
      <c r="F80" s="161">
        <f t="shared" si="3"/>
        <v>1.0089543378242443</v>
      </c>
    </row>
    <row r="81" spans="1:6" ht="15" customHeight="1" x14ac:dyDescent="0.2">
      <c r="A81" s="147">
        <v>20</v>
      </c>
      <c r="B81" s="160" t="s">
        <v>216</v>
      </c>
      <c r="C81" s="157">
        <v>1067033</v>
      </c>
      <c r="D81" s="157">
        <v>1267227</v>
      </c>
      <c r="E81" s="157">
        <f t="shared" si="2"/>
        <v>200194</v>
      </c>
      <c r="F81" s="161">
        <f t="shared" si="3"/>
        <v>0.18761744013540349</v>
      </c>
    </row>
    <row r="82" spans="1:6" ht="15" customHeight="1" x14ac:dyDescent="0.2">
      <c r="A82" s="147">
        <v>21</v>
      </c>
      <c r="B82" s="160" t="s">
        <v>217</v>
      </c>
      <c r="C82" s="157">
        <v>1684282</v>
      </c>
      <c r="D82" s="157">
        <v>2218955</v>
      </c>
      <c r="E82" s="157">
        <f t="shared" si="2"/>
        <v>534673</v>
      </c>
      <c r="F82" s="161">
        <f t="shared" si="3"/>
        <v>0.31744862202410284</v>
      </c>
    </row>
    <row r="83" spans="1:6" ht="15" customHeight="1" x14ac:dyDescent="0.2">
      <c r="A83" s="147">
        <v>22</v>
      </c>
      <c r="B83" s="160" t="s">
        <v>218</v>
      </c>
      <c r="C83" s="157">
        <v>978654</v>
      </c>
      <c r="D83" s="157">
        <v>618780</v>
      </c>
      <c r="E83" s="157">
        <f t="shared" si="2"/>
        <v>-359874</v>
      </c>
      <c r="F83" s="161">
        <f t="shared" si="3"/>
        <v>-0.36772342421325616</v>
      </c>
    </row>
    <row r="84" spans="1:6" ht="15" customHeight="1" x14ac:dyDescent="0.2">
      <c r="A84" s="147">
        <v>23</v>
      </c>
      <c r="B84" s="160" t="s">
        <v>219</v>
      </c>
      <c r="C84" s="157">
        <v>2353086</v>
      </c>
      <c r="D84" s="157">
        <v>2440490</v>
      </c>
      <c r="E84" s="157">
        <f t="shared" si="2"/>
        <v>87404</v>
      </c>
      <c r="F84" s="161">
        <f t="shared" si="3"/>
        <v>3.7144413761332991E-2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160616</v>
      </c>
      <c r="D86" s="157">
        <v>162679</v>
      </c>
      <c r="E86" s="157">
        <f t="shared" si="2"/>
        <v>2063</v>
      </c>
      <c r="F86" s="161">
        <f t="shared" si="3"/>
        <v>1.2844299447128555E-2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4819760</v>
      </c>
      <c r="D89" s="157">
        <v>4000610</v>
      </c>
      <c r="E89" s="157">
        <f t="shared" si="2"/>
        <v>-819150</v>
      </c>
      <c r="F89" s="161">
        <f t="shared" si="3"/>
        <v>-0.16995659534914601</v>
      </c>
    </row>
    <row r="90" spans="1:6" ht="15.75" customHeight="1" x14ac:dyDescent="0.25">
      <c r="A90" s="147"/>
      <c r="B90" s="162" t="s">
        <v>225</v>
      </c>
      <c r="C90" s="158">
        <f>SUM(C62:C89)</f>
        <v>38524807</v>
      </c>
      <c r="D90" s="158">
        <f>SUM(D62:D89)</f>
        <v>43110146</v>
      </c>
      <c r="E90" s="158">
        <f t="shared" si="2"/>
        <v>4585339</v>
      </c>
      <c r="F90" s="159">
        <f t="shared" si="3"/>
        <v>0.11902302326913669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16076070</v>
      </c>
      <c r="D93" s="157">
        <v>27006346</v>
      </c>
      <c r="E93" s="157">
        <f>+D93-C93</f>
        <v>10930276</v>
      </c>
      <c r="F93" s="161">
        <f>IF(C93=0,0,E93/C93)</f>
        <v>0.6799097042996205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403987000</v>
      </c>
      <c r="D95" s="158">
        <f>+D93+D90+D59+D50+D47+D44+D41+D35+D30+D24+D18</f>
        <v>409234000</v>
      </c>
      <c r="E95" s="158">
        <f>+D95-C95</f>
        <v>5247000</v>
      </c>
      <c r="F95" s="159">
        <f>IF(C95=0,0,E95/C95)</f>
        <v>1.2988041694410958E-2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26103768</v>
      </c>
      <c r="D103" s="157">
        <v>24596809</v>
      </c>
      <c r="E103" s="157">
        <f t="shared" ref="E103:E121" si="4">D103-C103</f>
        <v>-1506959</v>
      </c>
      <c r="F103" s="161">
        <f t="shared" ref="F103:F121" si="5">IF(C103=0,0,E103/C103)</f>
        <v>-5.7729558430032017E-2</v>
      </c>
    </row>
    <row r="104" spans="1:6" ht="15" customHeight="1" x14ac:dyDescent="0.2">
      <c r="A104" s="147">
        <v>2</v>
      </c>
      <c r="B104" s="169" t="s">
        <v>234</v>
      </c>
      <c r="C104" s="157">
        <v>2997958</v>
      </c>
      <c r="D104" s="157">
        <v>3864300</v>
      </c>
      <c r="E104" s="157">
        <f t="shared" si="4"/>
        <v>866342</v>
      </c>
      <c r="F104" s="161">
        <f t="shared" si="5"/>
        <v>0.28897736392571211</v>
      </c>
    </row>
    <row r="105" spans="1:6" ht="15" customHeight="1" x14ac:dyDescent="0.2">
      <c r="A105" s="147">
        <v>3</v>
      </c>
      <c r="B105" s="169" t="s">
        <v>235</v>
      </c>
      <c r="C105" s="157">
        <v>8518045</v>
      </c>
      <c r="D105" s="157">
        <v>11348805</v>
      </c>
      <c r="E105" s="157">
        <f t="shared" si="4"/>
        <v>2830760</v>
      </c>
      <c r="F105" s="161">
        <f t="shared" si="5"/>
        <v>0.33232508163551611</v>
      </c>
    </row>
    <row r="106" spans="1:6" ht="15" customHeight="1" x14ac:dyDescent="0.2">
      <c r="A106" s="147">
        <v>4</v>
      </c>
      <c r="B106" s="169" t="s">
        <v>236</v>
      </c>
      <c r="C106" s="157">
        <v>1294290</v>
      </c>
      <c r="D106" s="157">
        <v>1180097</v>
      </c>
      <c r="E106" s="157">
        <f t="shared" si="4"/>
        <v>-114193</v>
      </c>
      <c r="F106" s="161">
        <f t="shared" si="5"/>
        <v>-8.8228295049795638E-2</v>
      </c>
    </row>
    <row r="107" spans="1:6" ht="15" customHeight="1" x14ac:dyDescent="0.2">
      <c r="A107" s="147">
        <v>5</v>
      </c>
      <c r="B107" s="169" t="s">
        <v>237</v>
      </c>
      <c r="C107" s="157">
        <v>15050743</v>
      </c>
      <c r="D107" s="157">
        <v>18025773</v>
      </c>
      <c r="E107" s="157">
        <f t="shared" si="4"/>
        <v>2975030</v>
      </c>
      <c r="F107" s="161">
        <f t="shared" si="5"/>
        <v>0.19766665340043346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48440133</v>
      </c>
      <c r="D109" s="157">
        <v>50199355</v>
      </c>
      <c r="E109" s="157">
        <f t="shared" si="4"/>
        <v>1759222</v>
      </c>
      <c r="F109" s="161">
        <f t="shared" si="5"/>
        <v>3.6317447765884539E-2</v>
      </c>
    </row>
    <row r="110" spans="1:6" ht="15" customHeight="1" x14ac:dyDescent="0.2">
      <c r="A110" s="147">
        <v>8</v>
      </c>
      <c r="B110" s="169" t="s">
        <v>240</v>
      </c>
      <c r="C110" s="157">
        <v>0</v>
      </c>
      <c r="D110" s="157">
        <v>0</v>
      </c>
      <c r="E110" s="157">
        <f t="shared" si="4"/>
        <v>0</v>
      </c>
      <c r="F110" s="161">
        <f t="shared" si="5"/>
        <v>0</v>
      </c>
    </row>
    <row r="111" spans="1:6" ht="15" customHeight="1" x14ac:dyDescent="0.2">
      <c r="A111" s="147">
        <v>9</v>
      </c>
      <c r="B111" s="169" t="s">
        <v>241</v>
      </c>
      <c r="C111" s="157">
        <v>916090</v>
      </c>
      <c r="D111" s="157">
        <v>886368</v>
      </c>
      <c r="E111" s="157">
        <f t="shared" si="4"/>
        <v>-29722</v>
      </c>
      <c r="F111" s="161">
        <f t="shared" si="5"/>
        <v>-3.2444410483686098E-2</v>
      </c>
    </row>
    <row r="112" spans="1:6" ht="15" customHeight="1" x14ac:dyDescent="0.2">
      <c r="A112" s="147">
        <v>10</v>
      </c>
      <c r="B112" s="169" t="s">
        <v>242</v>
      </c>
      <c r="C112" s="157">
        <v>4965690</v>
      </c>
      <c r="D112" s="157">
        <v>4662252</v>
      </c>
      <c r="E112" s="157">
        <f t="shared" si="4"/>
        <v>-303438</v>
      </c>
      <c r="F112" s="161">
        <f t="shared" si="5"/>
        <v>-6.1106915655226163E-2</v>
      </c>
    </row>
    <row r="113" spans="1:6" ht="15" customHeight="1" x14ac:dyDescent="0.2">
      <c r="A113" s="147">
        <v>11</v>
      </c>
      <c r="B113" s="169" t="s">
        <v>243</v>
      </c>
      <c r="C113" s="157">
        <v>4125420</v>
      </c>
      <c r="D113" s="157">
        <v>4039376</v>
      </c>
      <c r="E113" s="157">
        <f t="shared" si="4"/>
        <v>-86044</v>
      </c>
      <c r="F113" s="161">
        <f t="shared" si="5"/>
        <v>-2.0857027890493575E-2</v>
      </c>
    </row>
    <row r="114" spans="1:6" ht="15" customHeight="1" x14ac:dyDescent="0.2">
      <c r="A114" s="147">
        <v>12</v>
      </c>
      <c r="B114" s="169" t="s">
        <v>244</v>
      </c>
      <c r="C114" s="157">
        <v>0</v>
      </c>
      <c r="D114" s="157">
        <v>0</v>
      </c>
      <c r="E114" s="157">
        <f t="shared" si="4"/>
        <v>0</v>
      </c>
      <c r="F114" s="161">
        <f t="shared" si="5"/>
        <v>0</v>
      </c>
    </row>
    <row r="115" spans="1:6" ht="15" customHeight="1" x14ac:dyDescent="0.2">
      <c r="A115" s="147">
        <v>13</v>
      </c>
      <c r="B115" s="169" t="s">
        <v>245</v>
      </c>
      <c r="C115" s="157">
        <v>4841519</v>
      </c>
      <c r="D115" s="157">
        <v>4933124</v>
      </c>
      <c r="E115" s="157">
        <f t="shared" si="4"/>
        <v>91605</v>
      </c>
      <c r="F115" s="161">
        <f t="shared" si="5"/>
        <v>1.8920714759148936E-2</v>
      </c>
    </row>
    <row r="116" spans="1:6" ht="15" customHeight="1" x14ac:dyDescent="0.2">
      <c r="A116" s="147">
        <v>14</v>
      </c>
      <c r="B116" s="169" t="s">
        <v>246</v>
      </c>
      <c r="C116" s="157">
        <v>2024737</v>
      </c>
      <c r="D116" s="157">
        <v>3198326</v>
      </c>
      <c r="E116" s="157">
        <f t="shared" si="4"/>
        <v>1173589</v>
      </c>
      <c r="F116" s="161">
        <f t="shared" si="5"/>
        <v>0.57962540320051448</v>
      </c>
    </row>
    <row r="117" spans="1:6" ht="15" customHeight="1" x14ac:dyDescent="0.2">
      <c r="A117" s="147">
        <v>15</v>
      </c>
      <c r="B117" s="169" t="s">
        <v>203</v>
      </c>
      <c r="C117" s="157">
        <v>5916374</v>
      </c>
      <c r="D117" s="157">
        <v>7286187</v>
      </c>
      <c r="E117" s="157">
        <f t="shared" si="4"/>
        <v>1369813</v>
      </c>
      <c r="F117" s="161">
        <f t="shared" si="5"/>
        <v>0.23152914268097319</v>
      </c>
    </row>
    <row r="118" spans="1:6" ht="15" customHeight="1" x14ac:dyDescent="0.2">
      <c r="A118" s="147">
        <v>16</v>
      </c>
      <c r="B118" s="169" t="s">
        <v>247</v>
      </c>
      <c r="C118" s="157">
        <v>2429880</v>
      </c>
      <c r="D118" s="157">
        <v>2377165</v>
      </c>
      <c r="E118" s="157">
        <f t="shared" si="4"/>
        <v>-52715</v>
      </c>
      <c r="F118" s="161">
        <f t="shared" si="5"/>
        <v>-2.1694486970549987E-2</v>
      </c>
    </row>
    <row r="119" spans="1:6" ht="15" customHeight="1" x14ac:dyDescent="0.2">
      <c r="A119" s="147">
        <v>17</v>
      </c>
      <c r="B119" s="169" t="s">
        <v>248</v>
      </c>
      <c r="C119" s="157">
        <v>13135290</v>
      </c>
      <c r="D119" s="157">
        <v>13398250</v>
      </c>
      <c r="E119" s="157">
        <f t="shared" si="4"/>
        <v>262960</v>
      </c>
      <c r="F119" s="161">
        <f t="shared" si="5"/>
        <v>2.0019352446729383E-2</v>
      </c>
    </row>
    <row r="120" spans="1:6" ht="15" customHeight="1" x14ac:dyDescent="0.2">
      <c r="A120" s="147">
        <v>18</v>
      </c>
      <c r="B120" s="169" t="s">
        <v>249</v>
      </c>
      <c r="C120" s="157">
        <v>59460903</v>
      </c>
      <c r="D120" s="157">
        <v>46537015</v>
      </c>
      <c r="E120" s="157">
        <f t="shared" si="4"/>
        <v>-12923888</v>
      </c>
      <c r="F120" s="161">
        <f t="shared" si="5"/>
        <v>-0.21735102139299836</v>
      </c>
    </row>
    <row r="121" spans="1:6" ht="15.75" customHeight="1" x14ac:dyDescent="0.25">
      <c r="A121" s="147"/>
      <c r="B121" s="165" t="s">
        <v>250</v>
      </c>
      <c r="C121" s="158">
        <f>SUM(C103:C120)</f>
        <v>200220840</v>
      </c>
      <c r="D121" s="158">
        <f>SUM(D103:D120)</f>
        <v>196533202</v>
      </c>
      <c r="E121" s="158">
        <f t="shared" si="4"/>
        <v>-3687638</v>
      </c>
      <c r="F121" s="159">
        <f t="shared" si="5"/>
        <v>-1.8417853006709992E-2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0</v>
      </c>
      <c r="D124" s="157">
        <v>0</v>
      </c>
      <c r="E124" s="157">
        <f t="shared" ref="E124:E130" si="6">D124-C124</f>
        <v>0</v>
      </c>
      <c r="F124" s="161">
        <f t="shared" ref="F124:F130" si="7">IF(C124=0,0,E124/C124)</f>
        <v>0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4418868</v>
      </c>
      <c r="D126" s="157">
        <v>4108316</v>
      </c>
      <c r="E126" s="157">
        <f t="shared" si="6"/>
        <v>-310552</v>
      </c>
      <c r="F126" s="161">
        <f t="shared" si="7"/>
        <v>-7.0278632446137787E-2</v>
      </c>
    </row>
    <row r="127" spans="1:6" ht="15" customHeight="1" x14ac:dyDescent="0.2">
      <c r="A127" s="147">
        <v>4</v>
      </c>
      <c r="B127" s="169" t="s">
        <v>255</v>
      </c>
      <c r="C127" s="157">
        <v>3112075</v>
      </c>
      <c r="D127" s="157">
        <v>2588360</v>
      </c>
      <c r="E127" s="157">
        <f t="shared" si="6"/>
        <v>-523715</v>
      </c>
      <c r="F127" s="161">
        <f t="shared" si="7"/>
        <v>-0.16828482604050352</v>
      </c>
    </row>
    <row r="128" spans="1:6" ht="15" customHeight="1" x14ac:dyDescent="0.2">
      <c r="A128" s="147">
        <v>5</v>
      </c>
      <c r="B128" s="169" t="s">
        <v>256</v>
      </c>
      <c r="C128" s="157">
        <v>3266275</v>
      </c>
      <c r="D128" s="157">
        <v>3280737</v>
      </c>
      <c r="E128" s="157">
        <f t="shared" si="6"/>
        <v>14462</v>
      </c>
      <c r="F128" s="161">
        <f t="shared" si="7"/>
        <v>4.427673726186558E-3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10797218</v>
      </c>
      <c r="D130" s="158">
        <f>SUM(D124:D129)</f>
        <v>9977413</v>
      </c>
      <c r="E130" s="158">
        <f t="shared" si="6"/>
        <v>-819805</v>
      </c>
      <c r="F130" s="159">
        <f t="shared" si="7"/>
        <v>-7.5927428713581588E-2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24390293</v>
      </c>
      <c r="D133" s="157">
        <v>25138907</v>
      </c>
      <c r="E133" s="157">
        <f t="shared" ref="E133:E167" si="8">D133-C133</f>
        <v>748614</v>
      </c>
      <c r="F133" s="161">
        <f t="shared" ref="F133:F167" si="9">IF(C133=0,0,E133/C133)</f>
        <v>3.069311221476511E-2</v>
      </c>
    </row>
    <row r="134" spans="1:6" ht="15" customHeight="1" x14ac:dyDescent="0.2">
      <c r="A134" s="147">
        <v>2</v>
      </c>
      <c r="B134" s="169" t="s">
        <v>261</v>
      </c>
      <c r="C134" s="157">
        <v>1657520</v>
      </c>
      <c r="D134" s="157">
        <v>1505436</v>
      </c>
      <c r="E134" s="157">
        <f t="shared" si="8"/>
        <v>-152084</v>
      </c>
      <c r="F134" s="161">
        <f t="shared" si="9"/>
        <v>-9.1753945653747768E-2</v>
      </c>
    </row>
    <row r="135" spans="1:6" ht="15" customHeight="1" x14ac:dyDescent="0.2">
      <c r="A135" s="147">
        <v>3</v>
      </c>
      <c r="B135" s="169" t="s">
        <v>262</v>
      </c>
      <c r="C135" s="157">
        <v>2102880</v>
      </c>
      <c r="D135" s="157">
        <v>1553985</v>
      </c>
      <c r="E135" s="157">
        <f t="shared" si="8"/>
        <v>-548895</v>
      </c>
      <c r="F135" s="161">
        <f t="shared" si="9"/>
        <v>-0.26102060031956176</v>
      </c>
    </row>
    <row r="136" spans="1:6" ht="15" customHeight="1" x14ac:dyDescent="0.2">
      <c r="A136" s="147">
        <v>4</v>
      </c>
      <c r="B136" s="169" t="s">
        <v>263</v>
      </c>
      <c r="C136" s="157">
        <v>4320694</v>
      </c>
      <c r="D136" s="157">
        <v>4232156</v>
      </c>
      <c r="E136" s="157">
        <f t="shared" si="8"/>
        <v>-88538</v>
      </c>
      <c r="F136" s="161">
        <f t="shared" si="9"/>
        <v>-2.0491615467330016E-2</v>
      </c>
    </row>
    <row r="137" spans="1:6" ht="15" customHeight="1" x14ac:dyDescent="0.2">
      <c r="A137" s="147">
        <v>5</v>
      </c>
      <c r="B137" s="169" t="s">
        <v>264</v>
      </c>
      <c r="C137" s="157">
        <v>5476338</v>
      </c>
      <c r="D137" s="157">
        <v>7281098</v>
      </c>
      <c r="E137" s="157">
        <f t="shared" si="8"/>
        <v>1804760</v>
      </c>
      <c r="F137" s="161">
        <f t="shared" si="9"/>
        <v>0.32955599161337373</v>
      </c>
    </row>
    <row r="138" spans="1:6" ht="15" customHeight="1" x14ac:dyDescent="0.2">
      <c r="A138" s="147">
        <v>6</v>
      </c>
      <c r="B138" s="169" t="s">
        <v>265</v>
      </c>
      <c r="C138" s="157">
        <v>1866831</v>
      </c>
      <c r="D138" s="157">
        <v>1901633</v>
      </c>
      <c r="E138" s="157">
        <f t="shared" si="8"/>
        <v>34802</v>
      </c>
      <c r="F138" s="161">
        <f t="shared" si="9"/>
        <v>1.864228738434277E-2</v>
      </c>
    </row>
    <row r="139" spans="1:6" ht="15" customHeight="1" x14ac:dyDescent="0.2">
      <c r="A139" s="147">
        <v>7</v>
      </c>
      <c r="B139" s="169" t="s">
        <v>266</v>
      </c>
      <c r="C139" s="157">
        <v>3412256</v>
      </c>
      <c r="D139" s="157">
        <v>4113816</v>
      </c>
      <c r="E139" s="157">
        <f t="shared" si="8"/>
        <v>701560</v>
      </c>
      <c r="F139" s="161">
        <f t="shared" si="9"/>
        <v>0.20560004876539156</v>
      </c>
    </row>
    <row r="140" spans="1:6" ht="15" customHeight="1" x14ac:dyDescent="0.2">
      <c r="A140" s="147">
        <v>8</v>
      </c>
      <c r="B140" s="169" t="s">
        <v>267</v>
      </c>
      <c r="C140" s="157">
        <v>678219</v>
      </c>
      <c r="D140" s="157">
        <v>619759</v>
      </c>
      <c r="E140" s="157">
        <f t="shared" si="8"/>
        <v>-58460</v>
      </c>
      <c r="F140" s="161">
        <f t="shared" si="9"/>
        <v>-8.6196346607806618E-2</v>
      </c>
    </row>
    <row r="141" spans="1:6" ht="15" customHeight="1" x14ac:dyDescent="0.2">
      <c r="A141" s="147">
        <v>9</v>
      </c>
      <c r="B141" s="169" t="s">
        <v>268</v>
      </c>
      <c r="C141" s="157">
        <v>1444558</v>
      </c>
      <c r="D141" s="157">
        <v>1550492</v>
      </c>
      <c r="E141" s="157">
        <f t="shared" si="8"/>
        <v>105934</v>
      </c>
      <c r="F141" s="161">
        <f t="shared" si="9"/>
        <v>7.3333157962504794E-2</v>
      </c>
    </row>
    <row r="142" spans="1:6" ht="15" customHeight="1" x14ac:dyDescent="0.2">
      <c r="A142" s="147">
        <v>10</v>
      </c>
      <c r="B142" s="169" t="s">
        <v>269</v>
      </c>
      <c r="C142" s="157">
        <v>13689675</v>
      </c>
      <c r="D142" s="157">
        <v>13904545</v>
      </c>
      <c r="E142" s="157">
        <f t="shared" si="8"/>
        <v>214870</v>
      </c>
      <c r="F142" s="161">
        <f t="shared" si="9"/>
        <v>1.5695770717712436E-2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13919885</v>
      </c>
      <c r="D144" s="157">
        <v>14957154</v>
      </c>
      <c r="E144" s="157">
        <f t="shared" si="8"/>
        <v>1037269</v>
      </c>
      <c r="F144" s="161">
        <f t="shared" si="9"/>
        <v>7.4517066771744161E-2</v>
      </c>
    </row>
    <row r="145" spans="1:6" ht="15" customHeight="1" x14ac:dyDescent="0.2">
      <c r="A145" s="147">
        <v>13</v>
      </c>
      <c r="B145" s="169" t="s">
        <v>272</v>
      </c>
      <c r="C145" s="157">
        <v>1006194</v>
      </c>
      <c r="D145" s="157">
        <v>951447</v>
      </c>
      <c r="E145" s="157">
        <f t="shared" si="8"/>
        <v>-54747</v>
      </c>
      <c r="F145" s="161">
        <f t="shared" si="9"/>
        <v>-5.4409984555662226E-2</v>
      </c>
    </row>
    <row r="146" spans="1:6" ht="15" customHeight="1" x14ac:dyDescent="0.2">
      <c r="A146" s="147">
        <v>14</v>
      </c>
      <c r="B146" s="169" t="s">
        <v>273</v>
      </c>
      <c r="C146" s="157">
        <v>142367</v>
      </c>
      <c r="D146" s="157">
        <v>187709</v>
      </c>
      <c r="E146" s="157">
        <f t="shared" si="8"/>
        <v>45342</v>
      </c>
      <c r="F146" s="161">
        <f t="shared" si="9"/>
        <v>0.31848672796364325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2918561</v>
      </c>
      <c r="D150" s="157">
        <v>2793744</v>
      </c>
      <c r="E150" s="157">
        <f t="shared" si="8"/>
        <v>-124817</v>
      </c>
      <c r="F150" s="161">
        <f t="shared" si="9"/>
        <v>-4.276662368886585E-2</v>
      </c>
    </row>
    <row r="151" spans="1:6" ht="15" customHeight="1" x14ac:dyDescent="0.2">
      <c r="A151" s="147">
        <v>19</v>
      </c>
      <c r="B151" s="169" t="s">
        <v>278</v>
      </c>
      <c r="C151" s="157">
        <v>460412</v>
      </c>
      <c r="D151" s="157">
        <v>397004</v>
      </c>
      <c r="E151" s="157">
        <f t="shared" si="8"/>
        <v>-63408</v>
      </c>
      <c r="F151" s="161">
        <f t="shared" si="9"/>
        <v>-0.13772012892800362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2070249</v>
      </c>
      <c r="D154" s="157">
        <v>2197019</v>
      </c>
      <c r="E154" s="157">
        <f t="shared" si="8"/>
        <v>126770</v>
      </c>
      <c r="F154" s="161">
        <f t="shared" si="9"/>
        <v>6.1234180043076944E-2</v>
      </c>
    </row>
    <row r="155" spans="1:6" ht="15" customHeight="1" x14ac:dyDescent="0.2">
      <c r="A155" s="147">
        <v>23</v>
      </c>
      <c r="B155" s="169" t="s">
        <v>282</v>
      </c>
      <c r="C155" s="157">
        <v>733759</v>
      </c>
      <c r="D155" s="157">
        <v>583570</v>
      </c>
      <c r="E155" s="157">
        <f t="shared" si="8"/>
        <v>-150189</v>
      </c>
      <c r="F155" s="161">
        <f t="shared" si="9"/>
        <v>-0.20468437184416136</v>
      </c>
    </row>
    <row r="156" spans="1:6" ht="15" customHeight="1" x14ac:dyDescent="0.2">
      <c r="A156" s="147">
        <v>24</v>
      </c>
      <c r="B156" s="169" t="s">
        <v>283</v>
      </c>
      <c r="C156" s="157">
        <v>20117719</v>
      </c>
      <c r="D156" s="157">
        <v>22809560</v>
      </c>
      <c r="E156" s="157">
        <f t="shared" si="8"/>
        <v>2691841</v>
      </c>
      <c r="F156" s="161">
        <f t="shared" si="9"/>
        <v>0.13380448350034116</v>
      </c>
    </row>
    <row r="157" spans="1:6" ht="15" customHeight="1" x14ac:dyDescent="0.2">
      <c r="A157" s="147">
        <v>25</v>
      </c>
      <c r="B157" s="169" t="s">
        <v>284</v>
      </c>
      <c r="C157" s="157">
        <v>0</v>
      </c>
      <c r="D157" s="157">
        <v>0</v>
      </c>
      <c r="E157" s="157">
        <f t="shared" si="8"/>
        <v>0</v>
      </c>
      <c r="F157" s="161">
        <f t="shared" si="9"/>
        <v>0</v>
      </c>
    </row>
    <row r="158" spans="1:6" ht="15" customHeight="1" x14ac:dyDescent="0.2">
      <c r="A158" s="147">
        <v>26</v>
      </c>
      <c r="B158" s="169" t="s">
        <v>285</v>
      </c>
      <c r="C158" s="157">
        <v>293732</v>
      </c>
      <c r="D158" s="157">
        <v>307703</v>
      </c>
      <c r="E158" s="157">
        <f t="shared" si="8"/>
        <v>13971</v>
      </c>
      <c r="F158" s="161">
        <f t="shared" si="9"/>
        <v>4.756376560946713E-2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2684712</v>
      </c>
      <c r="D160" s="157">
        <v>2593777</v>
      </c>
      <c r="E160" s="157">
        <f t="shared" si="8"/>
        <v>-90935</v>
      </c>
      <c r="F160" s="161">
        <f t="shared" si="9"/>
        <v>-3.3871417120346616E-2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5440274</v>
      </c>
      <c r="D164" s="157">
        <v>5374063</v>
      </c>
      <c r="E164" s="157">
        <f t="shared" si="8"/>
        <v>-66211</v>
      </c>
      <c r="F164" s="161">
        <f t="shared" si="9"/>
        <v>-1.217052670508875E-2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0</v>
      </c>
      <c r="D166" s="157">
        <v>0</v>
      </c>
      <c r="E166" s="157">
        <f t="shared" si="8"/>
        <v>0</v>
      </c>
      <c r="F166" s="161">
        <f t="shared" si="9"/>
        <v>0</v>
      </c>
    </row>
    <row r="167" spans="1:6" ht="15.75" customHeight="1" x14ac:dyDescent="0.25">
      <c r="A167" s="147"/>
      <c r="B167" s="165" t="s">
        <v>294</v>
      </c>
      <c r="C167" s="158">
        <f>SUM(C133:C166)</f>
        <v>108827128</v>
      </c>
      <c r="D167" s="158">
        <f>SUM(D133:D166)</f>
        <v>114954577</v>
      </c>
      <c r="E167" s="158">
        <f t="shared" si="8"/>
        <v>6127449</v>
      </c>
      <c r="F167" s="159">
        <f t="shared" si="9"/>
        <v>5.6304426227254657E-2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40446665</v>
      </c>
      <c r="D170" s="157">
        <v>40272362</v>
      </c>
      <c r="E170" s="157">
        <f t="shared" ref="E170:E183" si="10">D170-C170</f>
        <v>-174303</v>
      </c>
      <c r="F170" s="161">
        <f t="shared" ref="F170:F183" si="11">IF(C170=0,0,E170/C170)</f>
        <v>-4.3094529548975179E-3</v>
      </c>
    </row>
    <row r="171" spans="1:6" ht="15" customHeight="1" x14ac:dyDescent="0.2">
      <c r="A171" s="147">
        <v>2</v>
      </c>
      <c r="B171" s="169" t="s">
        <v>297</v>
      </c>
      <c r="C171" s="157">
        <v>3270935</v>
      </c>
      <c r="D171" s="157">
        <v>3268563</v>
      </c>
      <c r="E171" s="157">
        <f t="shared" si="10"/>
        <v>-2372</v>
      </c>
      <c r="F171" s="161">
        <f t="shared" si="11"/>
        <v>-7.2517491176070446E-4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2397949</v>
      </c>
      <c r="D173" s="157">
        <v>2350861</v>
      </c>
      <c r="E173" s="157">
        <f t="shared" si="10"/>
        <v>-47088</v>
      </c>
      <c r="F173" s="161">
        <f t="shared" si="11"/>
        <v>-1.9636781265990229E-2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846779</v>
      </c>
      <c r="D177" s="157">
        <v>0</v>
      </c>
      <c r="E177" s="157">
        <f t="shared" si="10"/>
        <v>-846779</v>
      </c>
      <c r="F177" s="161">
        <f t="shared" si="11"/>
        <v>-1</v>
      </c>
    </row>
    <row r="178" spans="1:6" ht="15" customHeight="1" x14ac:dyDescent="0.2">
      <c r="A178" s="147">
        <v>9</v>
      </c>
      <c r="B178" s="169" t="s">
        <v>304</v>
      </c>
      <c r="C178" s="157">
        <v>2030159</v>
      </c>
      <c r="D178" s="157">
        <v>2107080</v>
      </c>
      <c r="E178" s="157">
        <f t="shared" si="10"/>
        <v>76921</v>
      </c>
      <c r="F178" s="161">
        <f t="shared" si="11"/>
        <v>3.7889150554217675E-2</v>
      </c>
    </row>
    <row r="179" spans="1:6" ht="15" customHeight="1" x14ac:dyDescent="0.2">
      <c r="A179" s="147">
        <v>10</v>
      </c>
      <c r="B179" s="169" t="s">
        <v>305</v>
      </c>
      <c r="C179" s="157">
        <v>9320346</v>
      </c>
      <c r="D179" s="157">
        <v>8960405</v>
      </c>
      <c r="E179" s="157">
        <f t="shared" si="10"/>
        <v>-359941</v>
      </c>
      <c r="F179" s="161">
        <f t="shared" si="11"/>
        <v>-3.8618845266044845E-2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3346236</v>
      </c>
      <c r="D181" s="157">
        <v>1889468</v>
      </c>
      <c r="E181" s="157">
        <f t="shared" si="10"/>
        <v>-1456768</v>
      </c>
      <c r="F181" s="161">
        <f t="shared" si="11"/>
        <v>-0.43534526554612407</v>
      </c>
    </row>
    <row r="182" spans="1:6" ht="15" customHeight="1" x14ac:dyDescent="0.2">
      <c r="A182" s="147">
        <v>13</v>
      </c>
      <c r="B182" s="169" t="s">
        <v>308</v>
      </c>
      <c r="C182" s="157">
        <v>2080489</v>
      </c>
      <c r="D182" s="157">
        <v>2064684</v>
      </c>
      <c r="E182" s="157">
        <f t="shared" si="10"/>
        <v>-15805</v>
      </c>
      <c r="F182" s="161">
        <f t="shared" si="11"/>
        <v>-7.5967717204945568E-3</v>
      </c>
    </row>
    <row r="183" spans="1:6" ht="15.75" customHeight="1" x14ac:dyDescent="0.25">
      <c r="A183" s="147"/>
      <c r="B183" s="165" t="s">
        <v>309</v>
      </c>
      <c r="C183" s="158">
        <f>SUM(C170:C182)</f>
        <v>63739558</v>
      </c>
      <c r="D183" s="158">
        <f>SUM(D170:D182)</f>
        <v>60913423</v>
      </c>
      <c r="E183" s="158">
        <f t="shared" si="10"/>
        <v>-2826135</v>
      </c>
      <c r="F183" s="159">
        <f t="shared" si="11"/>
        <v>-4.4338791932005552E-2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20402256</v>
      </c>
      <c r="D186" s="157">
        <v>26855385</v>
      </c>
      <c r="E186" s="157">
        <f>D186-C186</f>
        <v>6453129</v>
      </c>
      <c r="F186" s="161">
        <f>IF(C186=0,0,E186/C186)</f>
        <v>0.31629487444917859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403987000</v>
      </c>
      <c r="D188" s="158">
        <f>+D186+D183+D167+D130+D121</f>
        <v>409234000</v>
      </c>
      <c r="E188" s="158">
        <f>D188-C188</f>
        <v>5247000</v>
      </c>
      <c r="F188" s="159">
        <f>IF(C188=0,0,E188/C188)</f>
        <v>1.2988041694410958E-2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/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409615000</v>
      </c>
      <c r="D11" s="183">
        <v>420616000</v>
      </c>
      <c r="E11" s="76">
        <v>418827000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7707000</v>
      </c>
      <c r="D12" s="185">
        <v>16075000</v>
      </c>
      <c r="E12" s="185">
        <v>22885000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417322000</v>
      </c>
      <c r="D13" s="76">
        <f>+D11+D12</f>
        <v>436691000</v>
      </c>
      <c r="E13" s="76">
        <f>+E11+E12</f>
        <v>441712000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383278000</v>
      </c>
      <c r="D14" s="185">
        <v>403987000</v>
      </c>
      <c r="E14" s="185">
        <v>409234000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34044000</v>
      </c>
      <c r="D15" s="76">
        <f>+D13-D14</f>
        <v>32704000</v>
      </c>
      <c r="E15" s="76">
        <f>+E13-E14</f>
        <v>32478000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-38000</v>
      </c>
      <c r="D16" s="185">
        <v>2164000</v>
      </c>
      <c r="E16" s="185">
        <v>3969000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34006000</v>
      </c>
      <c r="D17" s="76">
        <f>D15+D16</f>
        <v>34868000</v>
      </c>
      <c r="E17" s="76">
        <f>E15+E16</f>
        <v>36447000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8.1584724072813725E-2</v>
      </c>
      <c r="D20" s="189">
        <f>IF(+D27=0,0,+D24/+D27)</f>
        <v>7.4521197206366574E-2</v>
      </c>
      <c r="E20" s="189">
        <f>IF(+E27=0,0,+E24/+E27)</f>
        <v>7.2872749791891511E-2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-9.106507798046415E-5</v>
      </c>
      <c r="D21" s="189">
        <f>IF(D27=0,0,+D26/D27)</f>
        <v>4.9310136605484724E-3</v>
      </c>
      <c r="E21" s="189">
        <f>IF(E27=0,0,+E26/E27)</f>
        <v>8.9054727484456364E-3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8.1493658994833254E-2</v>
      </c>
      <c r="D22" s="189">
        <f>IF(D27=0,0,+D28/D27)</f>
        <v>7.9452210866915035E-2</v>
      </c>
      <c r="E22" s="189">
        <f>IF(E27=0,0,+E28/E27)</f>
        <v>8.1778222540337148E-2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34044000</v>
      </c>
      <c r="D24" s="76">
        <f>+D15</f>
        <v>32704000</v>
      </c>
      <c r="E24" s="76">
        <f>+E15</f>
        <v>32478000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417322000</v>
      </c>
      <c r="D25" s="76">
        <f>+D13</f>
        <v>436691000</v>
      </c>
      <c r="E25" s="76">
        <f>+E13</f>
        <v>441712000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-38000</v>
      </c>
      <c r="D26" s="76">
        <f>+D16</f>
        <v>2164000</v>
      </c>
      <c r="E26" s="76">
        <f>+E16</f>
        <v>3969000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417284000</v>
      </c>
      <c r="D27" s="76">
        <f>+D25+D26</f>
        <v>438855000</v>
      </c>
      <c r="E27" s="76">
        <f>+E25+E26</f>
        <v>445681000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34006000</v>
      </c>
      <c r="D28" s="76">
        <f>+D17</f>
        <v>34868000</v>
      </c>
      <c r="E28" s="76">
        <f>+E17</f>
        <v>36447000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74736000</v>
      </c>
      <c r="D31" s="76">
        <v>74554000</v>
      </c>
      <c r="E31" s="76">
        <v>123039000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118814000</v>
      </c>
      <c r="D32" s="76">
        <v>123258000</v>
      </c>
      <c r="E32" s="76">
        <v>175860000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15715000</v>
      </c>
      <c r="D33" s="76">
        <f>+D32-C32</f>
        <v>4444000</v>
      </c>
      <c r="E33" s="76">
        <f>+E32-D32</f>
        <v>52602000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1.1524000000000001</v>
      </c>
      <c r="D34" s="193">
        <f>IF(C32=0,0,+D33/C32)</f>
        <v>3.7402999646506306E-2</v>
      </c>
      <c r="E34" s="193">
        <f>IF(D32=0,0,+E33/D32)</f>
        <v>0.42676337438543543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0.29336142351486488</v>
      </c>
      <c r="D38" s="195">
        <f>IF((D40+D41)=0,0,+D39/(D40+D41))</f>
        <v>0.28969556309065853</v>
      </c>
      <c r="E38" s="195">
        <f>IF((E40+E41)=0,0,+E39/(E40+E41))</f>
        <v>0.26972117737237244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383278000</v>
      </c>
      <c r="D39" s="76">
        <v>403987000</v>
      </c>
      <c r="E39" s="196">
        <v>409234000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1300539601</v>
      </c>
      <c r="D40" s="76">
        <v>1390797863</v>
      </c>
      <c r="E40" s="196">
        <v>1512519567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5964831</v>
      </c>
      <c r="D41" s="76">
        <v>3724703</v>
      </c>
      <c r="E41" s="196">
        <v>4728741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1.4449981697934966</v>
      </c>
      <c r="D43" s="197">
        <f>IF(D38=0,0,IF((D46-D47)=0,0,((+D44-D45)/(D46-D47)/D38)))</f>
        <v>1.4102008543444018</v>
      </c>
      <c r="E43" s="197">
        <f>IF(E38=0,0,IF((E46-E47)=0,0,((+E44-E45)/(E46-E47)/E38)))</f>
        <v>1.4850939036488089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182231020</v>
      </c>
      <c r="D44" s="76">
        <v>179025786</v>
      </c>
      <c r="E44" s="196">
        <v>191706566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5198394</v>
      </c>
      <c r="D45" s="76">
        <v>4362981</v>
      </c>
      <c r="E45" s="196">
        <v>5710793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460635737</v>
      </c>
      <c r="D46" s="76">
        <v>475057071</v>
      </c>
      <c r="E46" s="196">
        <v>516542643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43014082</v>
      </c>
      <c r="D47" s="76">
        <v>47516224</v>
      </c>
      <c r="E47" s="76">
        <v>52204765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0.98099313274595012</v>
      </c>
      <c r="D49" s="198">
        <f>IF(D38=0,0,IF(D51=0,0,(D50/D51)/D38))</f>
        <v>0.97630090898843636</v>
      </c>
      <c r="E49" s="198">
        <f>IF(E38=0,0,IF(E51=0,0,(E50/E51)/E38))</f>
        <v>1.0346541286074324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144351885</v>
      </c>
      <c r="D50" s="199">
        <v>152153815</v>
      </c>
      <c r="E50" s="199">
        <v>160079187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501595334</v>
      </c>
      <c r="D51" s="199">
        <v>537969072</v>
      </c>
      <c r="E51" s="199">
        <v>573620453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0.73946165121028029</v>
      </c>
      <c r="D53" s="198">
        <f>IF(D38=0,0,IF(D55=0,0,(D54/D55)/D38))</f>
        <v>0.73901988337043767</v>
      </c>
      <c r="E53" s="198">
        <f>IF(E38=0,0,IF(E55=0,0,(E54/E55)/E38))</f>
        <v>0.68589725916342581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72981352</v>
      </c>
      <c r="D54" s="199">
        <v>80545712</v>
      </c>
      <c r="E54" s="199">
        <v>77809615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336428860</v>
      </c>
      <c r="D55" s="199">
        <v>376222234</v>
      </c>
      <c r="E55" s="199">
        <v>420590203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12285910.117120827</v>
      </c>
      <c r="D57" s="88">
        <f>+D60*D38</f>
        <v>12979555.641268125</v>
      </c>
      <c r="E57" s="88">
        <f>+E60*E38</f>
        <v>14066133.909570983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13664086</v>
      </c>
      <c r="D58" s="199">
        <v>14777279</v>
      </c>
      <c r="E58" s="199">
        <v>19484535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28215688</v>
      </c>
      <c r="D59" s="199">
        <v>30026844</v>
      </c>
      <c r="E59" s="199">
        <v>32666112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41879774</v>
      </c>
      <c r="D60" s="76">
        <v>44804123</v>
      </c>
      <c r="E60" s="201">
        <v>52150647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3.2054827350176181E-2</v>
      </c>
      <c r="D62" s="202">
        <f>IF(D63=0,0,+D57/D63)</f>
        <v>3.2128646816031517E-2</v>
      </c>
      <c r="E62" s="202">
        <f>IF(E63=0,0,+E57/E63)</f>
        <v>3.4371860377121602E-2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383278000</v>
      </c>
      <c r="D63" s="199">
        <v>403987000</v>
      </c>
      <c r="E63" s="199">
        <v>409234000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1.7913989521078015</v>
      </c>
      <c r="D67" s="203">
        <f>IF(D69=0,0,D68/D69)</f>
        <v>1.5974495480995419</v>
      </c>
      <c r="E67" s="203">
        <f>IF(E69=0,0,E68/E69)</f>
        <v>1.2627562471943738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111803000</v>
      </c>
      <c r="D68" s="204">
        <v>129026000</v>
      </c>
      <c r="E68" s="204">
        <v>143463000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62411000</v>
      </c>
      <c r="D69" s="204">
        <v>80770000</v>
      </c>
      <c r="E69" s="204">
        <v>113611000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55.51731121322171</v>
      </c>
      <c r="D71" s="203">
        <f>IF((D77/365)=0,0,+D74/(D77/365))</f>
        <v>54.171039467239169</v>
      </c>
      <c r="E71" s="203">
        <f>IF((E77/365)=0,0,+E74/(E77/365))</f>
        <v>60.231044922885836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37123000</v>
      </c>
      <c r="D72" s="183">
        <v>15511000</v>
      </c>
      <c r="E72" s="183">
        <v>30127000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18455000</v>
      </c>
      <c r="D73" s="206">
        <v>41452000</v>
      </c>
      <c r="E73" s="206">
        <v>33642000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55578000</v>
      </c>
      <c r="D74" s="204">
        <f>+D72+D73</f>
        <v>56963000</v>
      </c>
      <c r="E74" s="204">
        <f>+E72+E73</f>
        <v>63769000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383278000</v>
      </c>
      <c r="D75" s="204">
        <f>+D14</f>
        <v>403987000</v>
      </c>
      <c r="E75" s="204">
        <f>+E14</f>
        <v>409234000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17879000</v>
      </c>
      <c r="D76" s="204">
        <v>20175000</v>
      </c>
      <c r="E76" s="204">
        <v>22794000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365399000</v>
      </c>
      <c r="D77" s="204">
        <f>+D75-D76</f>
        <v>383812000</v>
      </c>
      <c r="E77" s="204">
        <f>+E75-E76</f>
        <v>386440000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35.852629908572688</v>
      </c>
      <c r="D79" s="203">
        <f>IF((D84/365)=0,0,+D83/(D84/365))</f>
        <v>37.299567776784528</v>
      </c>
      <c r="E79" s="203">
        <f>IF((E84/365)=0,0,+E83/(E84/365))</f>
        <v>44.822038693780492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41819000</v>
      </c>
      <c r="D80" s="212">
        <v>42983000</v>
      </c>
      <c r="E80" s="212">
        <v>51432000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2403000</v>
      </c>
      <c r="D81" s="212">
        <v>11424000</v>
      </c>
      <c r="E81" s="212">
        <v>10552000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3987000</v>
      </c>
      <c r="D82" s="212">
        <v>11424000</v>
      </c>
      <c r="E82" s="212">
        <v>10552000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40235000</v>
      </c>
      <c r="D83" s="212">
        <f>+D80+D81-D82</f>
        <v>42983000</v>
      </c>
      <c r="E83" s="212">
        <f>+E80+E81-E82</f>
        <v>51432000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409615000</v>
      </c>
      <c r="D84" s="204">
        <f>+D11</f>
        <v>420616000</v>
      </c>
      <c r="E84" s="204">
        <f>+E11</f>
        <v>418827000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62.342849870962972</v>
      </c>
      <c r="D86" s="203">
        <f>IF((D90/365)=0,0,+D87/(D90/365))</f>
        <v>76.811173178535327</v>
      </c>
      <c r="E86" s="203">
        <f>IF((E90/365)=0,0,+E87/(E90/365))</f>
        <v>107.30777093468586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62411000</v>
      </c>
      <c r="D87" s="76">
        <f>+D69</f>
        <v>80770000</v>
      </c>
      <c r="E87" s="76">
        <f>+E69</f>
        <v>113611000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383278000</v>
      </c>
      <c r="D88" s="76">
        <f t="shared" si="0"/>
        <v>403987000</v>
      </c>
      <c r="E88" s="76">
        <f t="shared" si="0"/>
        <v>409234000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17879000</v>
      </c>
      <c r="D89" s="201">
        <f t="shared" si="0"/>
        <v>20175000</v>
      </c>
      <c r="E89" s="201">
        <f t="shared" si="0"/>
        <v>22794000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365399000</v>
      </c>
      <c r="D90" s="76">
        <f>+D88-D89</f>
        <v>383812000</v>
      </c>
      <c r="E90" s="76">
        <f>+E88-E89</f>
        <v>386440000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36.176354169838319</v>
      </c>
      <c r="D94" s="214">
        <f>IF(D96=0,0,(D95/D96)*100)</f>
        <v>31.622129179237728</v>
      </c>
      <c r="E94" s="214">
        <f>IF(E96=0,0,(E95/E96)*100)</f>
        <v>39.940132952085925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118814000</v>
      </c>
      <c r="D95" s="76">
        <f>+D32</f>
        <v>123258000</v>
      </c>
      <c r="E95" s="76">
        <f>+E32</f>
        <v>175860000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328430000</v>
      </c>
      <c r="D96" s="76">
        <v>389784000</v>
      </c>
      <c r="E96" s="76">
        <v>440309000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46.256508095000356</v>
      </c>
      <c r="D98" s="214">
        <f>IF(D104=0,0,(D101/D104)*100)</f>
        <v>42.933248053913232</v>
      </c>
      <c r="E98" s="214">
        <f>IF(E104=0,0,(E101/E104)*100)</f>
        <v>36.385915129627236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34006000</v>
      </c>
      <c r="D99" s="76">
        <f>+D28</f>
        <v>34868000</v>
      </c>
      <c r="E99" s="76">
        <f>+E28</f>
        <v>36447000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17879000</v>
      </c>
      <c r="D100" s="201">
        <f>+D76</f>
        <v>20175000</v>
      </c>
      <c r="E100" s="201">
        <f>+E76</f>
        <v>22794000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51885000</v>
      </c>
      <c r="D101" s="76">
        <f>+D99+D100</f>
        <v>55043000</v>
      </c>
      <c r="E101" s="76">
        <f>+E99+E100</f>
        <v>59241000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62411000</v>
      </c>
      <c r="D102" s="204">
        <f>+D69</f>
        <v>80770000</v>
      </c>
      <c r="E102" s="204">
        <f>+E69</f>
        <v>113611000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49757000</v>
      </c>
      <c r="D103" s="216">
        <v>47436000</v>
      </c>
      <c r="E103" s="216">
        <v>49202000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112168000</v>
      </c>
      <c r="D104" s="204">
        <f>+D102+D103</f>
        <v>128206000</v>
      </c>
      <c r="E104" s="204">
        <f>+E102+E103</f>
        <v>162813000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29.516939449846056</v>
      </c>
      <c r="D106" s="214">
        <f>IF(D109=0,0,(D107/D109)*100)</f>
        <v>27.790080494920737</v>
      </c>
      <c r="E106" s="214">
        <f>IF(E109=0,0,(E107/E109)*100)</f>
        <v>21.861531489100781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49757000</v>
      </c>
      <c r="D107" s="204">
        <f>+D103</f>
        <v>47436000</v>
      </c>
      <c r="E107" s="204">
        <f>+E103</f>
        <v>49202000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118814000</v>
      </c>
      <c r="D108" s="204">
        <f>+D32</f>
        <v>123258000</v>
      </c>
      <c r="E108" s="204">
        <f>+E32</f>
        <v>175860000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168571000</v>
      </c>
      <c r="D109" s="204">
        <f>+D107+D108</f>
        <v>170694000</v>
      </c>
      <c r="E109" s="204">
        <f>+E107+E108</f>
        <v>225062000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9.082576383154418</v>
      </c>
      <c r="D111" s="214">
        <f>IF((+D113+D115)=0,0,((+D112+D113+D114)/(+D113+D115)))</f>
        <v>6.4529714030384273</v>
      </c>
      <c r="E111" s="214">
        <f>IF((+E113+E115)=0,0,((+E112+E113+E114)/(+E113+E115)))</f>
        <v>11.126415783704786</v>
      </c>
    </row>
    <row r="112" spans="1:6" ht="24" customHeight="1" x14ac:dyDescent="0.2">
      <c r="A112" s="85">
        <v>16</v>
      </c>
      <c r="B112" s="75" t="s">
        <v>373</v>
      </c>
      <c r="C112" s="218">
        <f>+C17</f>
        <v>34006000</v>
      </c>
      <c r="D112" s="76">
        <f>+D17</f>
        <v>34868000</v>
      </c>
      <c r="E112" s="76">
        <f>+E17</f>
        <v>36447000</v>
      </c>
    </row>
    <row r="113" spans="1:8" ht="24" customHeight="1" x14ac:dyDescent="0.2">
      <c r="A113" s="85">
        <v>17</v>
      </c>
      <c r="B113" s="75" t="s">
        <v>88</v>
      </c>
      <c r="C113" s="218">
        <v>3110000</v>
      </c>
      <c r="D113" s="76">
        <v>2724000</v>
      </c>
      <c r="E113" s="76">
        <v>1665000</v>
      </c>
    </row>
    <row r="114" spans="1:8" ht="24" customHeight="1" x14ac:dyDescent="0.2">
      <c r="A114" s="85">
        <v>18</v>
      </c>
      <c r="B114" s="75" t="s">
        <v>374</v>
      </c>
      <c r="C114" s="218">
        <v>17879000</v>
      </c>
      <c r="D114" s="76">
        <v>20175000</v>
      </c>
      <c r="E114" s="76">
        <v>22794000</v>
      </c>
    </row>
    <row r="115" spans="1:8" ht="24" customHeight="1" x14ac:dyDescent="0.2">
      <c r="A115" s="85">
        <v>19</v>
      </c>
      <c r="B115" s="75" t="s">
        <v>104</v>
      </c>
      <c r="C115" s="218">
        <v>2945000</v>
      </c>
      <c r="D115" s="76">
        <v>6228000</v>
      </c>
      <c r="E115" s="76">
        <v>3809000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14.819173331841826</v>
      </c>
      <c r="D119" s="214">
        <f>IF(+D121=0,0,(+D120)/(+D121))</f>
        <v>14.062998760842627</v>
      </c>
      <c r="E119" s="214">
        <f>IF(+E121=0,0,(+E120)/(+E121))</f>
        <v>12.520926559620953</v>
      </c>
    </row>
    <row r="120" spans="1:8" ht="24" customHeight="1" x14ac:dyDescent="0.2">
      <c r="A120" s="85">
        <v>21</v>
      </c>
      <c r="B120" s="75" t="s">
        <v>378</v>
      </c>
      <c r="C120" s="218">
        <v>264952000</v>
      </c>
      <c r="D120" s="218">
        <v>283721000</v>
      </c>
      <c r="E120" s="218">
        <v>285402000</v>
      </c>
    </row>
    <row r="121" spans="1:8" ht="24" customHeight="1" x14ac:dyDescent="0.2">
      <c r="A121" s="85">
        <v>22</v>
      </c>
      <c r="B121" s="75" t="s">
        <v>374</v>
      </c>
      <c r="C121" s="218">
        <v>17879000</v>
      </c>
      <c r="D121" s="218">
        <v>20175000</v>
      </c>
      <c r="E121" s="218">
        <v>22794000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104095</v>
      </c>
      <c r="D124" s="218">
        <v>100830</v>
      </c>
      <c r="E124" s="218">
        <v>97440</v>
      </c>
    </row>
    <row r="125" spans="1:8" ht="24" customHeight="1" x14ac:dyDescent="0.2">
      <c r="A125" s="85">
        <v>2</v>
      </c>
      <c r="B125" s="75" t="s">
        <v>381</v>
      </c>
      <c r="C125" s="218">
        <v>19058</v>
      </c>
      <c r="D125" s="218">
        <v>18936</v>
      </c>
      <c r="E125" s="218">
        <v>18453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5.4620107041662296</v>
      </c>
      <c r="D126" s="219">
        <f>IF(D125=0,0,D124/D125)</f>
        <v>5.3247782002534851</v>
      </c>
      <c r="E126" s="219">
        <f>IF(E125=0,0,E124/E125)</f>
        <v>5.2804422045195905</v>
      </c>
    </row>
    <row r="127" spans="1:8" ht="24" customHeight="1" x14ac:dyDescent="0.2">
      <c r="A127" s="85">
        <v>4</v>
      </c>
      <c r="B127" s="75" t="s">
        <v>383</v>
      </c>
      <c r="C127" s="218">
        <v>289</v>
      </c>
      <c r="D127" s="218">
        <v>281</v>
      </c>
      <c r="E127" s="218">
        <v>271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371</v>
      </c>
      <c r="E128" s="218">
        <v>333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406</v>
      </c>
      <c r="D129" s="218">
        <v>383</v>
      </c>
      <c r="E129" s="218">
        <v>383</v>
      </c>
    </row>
    <row r="130" spans="1:7" ht="24" customHeight="1" x14ac:dyDescent="0.2">
      <c r="A130" s="85">
        <v>7</v>
      </c>
      <c r="B130" s="75" t="s">
        <v>386</v>
      </c>
      <c r="C130" s="193">
        <v>0.98680000000000001</v>
      </c>
      <c r="D130" s="193">
        <v>0.98299999999999998</v>
      </c>
      <c r="E130" s="193">
        <v>0.98499999999999999</v>
      </c>
    </row>
    <row r="131" spans="1:7" ht="24" customHeight="1" x14ac:dyDescent="0.2">
      <c r="A131" s="85">
        <v>8</v>
      </c>
      <c r="B131" s="75" t="s">
        <v>387</v>
      </c>
      <c r="C131" s="193">
        <v>0.70240000000000002</v>
      </c>
      <c r="D131" s="193">
        <v>0.74450000000000005</v>
      </c>
      <c r="E131" s="193">
        <v>0.80159999999999998</v>
      </c>
    </row>
    <row r="132" spans="1:7" ht="24" customHeight="1" x14ac:dyDescent="0.2">
      <c r="A132" s="85">
        <v>9</v>
      </c>
      <c r="B132" s="75" t="s">
        <v>388</v>
      </c>
      <c r="C132" s="219">
        <v>2085.9</v>
      </c>
      <c r="D132" s="219">
        <v>2110.6</v>
      </c>
      <c r="E132" s="219">
        <v>2126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0.32111413960704144</v>
      </c>
      <c r="D135" s="227">
        <f>IF(D149=0,0,D143/D149)</f>
        <v>0.30740689094659618</v>
      </c>
      <c r="E135" s="227">
        <f>IF(E149=0,0,E143/E149)</f>
        <v>0.30699627834963406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0.38568247642310738</v>
      </c>
      <c r="D136" s="227">
        <f>IF(D149=0,0,D144/D149)</f>
        <v>0.38680608182671616</v>
      </c>
      <c r="E136" s="227">
        <f>IF(E149=0,0,E144/E149)</f>
        <v>0.37924828578432535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0.25868405678790246</v>
      </c>
      <c r="D137" s="227">
        <f>IF(D149=0,0,D145/D149)</f>
        <v>0.27050820540410908</v>
      </c>
      <c r="E137" s="227">
        <f>IF(E149=0,0,E145/E149)</f>
        <v>0.27807256988695866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3.3074027093773981E-2</v>
      </c>
      <c r="D139" s="227">
        <f>IF(D149=0,0,D147/D149)</f>
        <v>3.4164723188102854E-2</v>
      </c>
      <c r="E139" s="227">
        <f>IF(E149=0,0,E147/E149)</f>
        <v>3.4515100590430906E-2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1.4453000881747083E-3</v>
      </c>
      <c r="D140" s="227">
        <f>IF(D149=0,0,D148/D149)</f>
        <v>1.1140986344756844E-3</v>
      </c>
      <c r="E140" s="227">
        <f>IF(E149=0,0,E148/E149)</f>
        <v>1.1677653886510019E-3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417621655</v>
      </c>
      <c r="D143" s="229">
        <f>+D46-D147</f>
        <v>427540847</v>
      </c>
      <c r="E143" s="229">
        <f>+E46-E147</f>
        <v>464337878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501595334</v>
      </c>
      <c r="D144" s="229">
        <f>+D51</f>
        <v>537969072</v>
      </c>
      <c r="E144" s="229">
        <f>+E51</f>
        <v>573620453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336428860</v>
      </c>
      <c r="D145" s="229">
        <f>+D55</f>
        <v>376222234</v>
      </c>
      <c r="E145" s="229">
        <f>+E55</f>
        <v>420590203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43014082</v>
      </c>
      <c r="D147" s="229">
        <f>+D47</f>
        <v>47516224</v>
      </c>
      <c r="E147" s="229">
        <f>+E47</f>
        <v>52204765</v>
      </c>
    </row>
    <row r="148" spans="1:7" ht="20.100000000000001" customHeight="1" x14ac:dyDescent="0.2">
      <c r="A148" s="226">
        <v>13</v>
      </c>
      <c r="B148" s="224" t="s">
        <v>402</v>
      </c>
      <c r="C148" s="230">
        <v>1879670</v>
      </c>
      <c r="D148" s="229">
        <v>1549486</v>
      </c>
      <c r="E148" s="229">
        <v>1766268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1300539601</v>
      </c>
      <c r="D149" s="229">
        <f>SUM(D143:D148)</f>
        <v>1390797863</v>
      </c>
      <c r="E149" s="229">
        <f>SUM(E143:E148)</f>
        <v>1512519567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0.44265351279533599</v>
      </c>
      <c r="D152" s="227">
        <f>IF(D166=0,0,D160/D166)</f>
        <v>0.42397276593771377</v>
      </c>
      <c r="E152" s="227">
        <f>IF(E166=0,0,E160/E166)</f>
        <v>0.43263625016615298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0.36093837852169897</v>
      </c>
      <c r="D153" s="227">
        <f>IF(D166=0,0,D161/D166)</f>
        <v>0.36933492390394856</v>
      </c>
      <c r="E153" s="227">
        <f>IF(E166=0,0,E161/E166)</f>
        <v>0.37235286628436648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0.18248304033716881</v>
      </c>
      <c r="D154" s="227">
        <f>IF(D166=0,0,D162/D166)</f>
        <v>0.19551494264083588</v>
      </c>
      <c r="E154" s="227">
        <f>IF(E166=0,0,E162/E166)</f>
        <v>0.18098938227199415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1.2998097678301387E-2</v>
      </c>
      <c r="D156" s="227">
        <f>IF(D166=0,0,D164/D166)</f>
        <v>1.0590606983001861E-2</v>
      </c>
      <c r="E156" s="227">
        <f>IF(E166=0,0,E164/E166)</f>
        <v>1.3283614079741022E-2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9.2697066749486791E-4</v>
      </c>
      <c r="D157" s="227">
        <f>IF(D166=0,0,D165/D166)</f>
        <v>5.867605344999458E-4</v>
      </c>
      <c r="E157" s="227">
        <f>IF(E166=0,0,E165/E166)</f>
        <v>7.3788719774539287E-4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177032626</v>
      </c>
      <c r="D160" s="229">
        <f>+D44-D164</f>
        <v>174662805</v>
      </c>
      <c r="E160" s="229">
        <f>+E44-E164</f>
        <v>185995773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144351885</v>
      </c>
      <c r="D161" s="229">
        <f>+D50</f>
        <v>152153815</v>
      </c>
      <c r="E161" s="229">
        <f>+E50</f>
        <v>160079187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72981352</v>
      </c>
      <c r="D162" s="229">
        <f>+D54</f>
        <v>80545712</v>
      </c>
      <c r="E162" s="229">
        <f>+E54</f>
        <v>77809615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5198394</v>
      </c>
      <c r="D164" s="229">
        <f>+D45</f>
        <v>4362981</v>
      </c>
      <c r="E164" s="229">
        <f>+E45</f>
        <v>5710793</v>
      </c>
    </row>
    <row r="165" spans="1:6" ht="20.100000000000001" customHeight="1" x14ac:dyDescent="0.2">
      <c r="A165" s="226">
        <v>13</v>
      </c>
      <c r="B165" s="224" t="s">
        <v>417</v>
      </c>
      <c r="C165" s="230">
        <v>370728</v>
      </c>
      <c r="D165" s="229">
        <v>241726</v>
      </c>
      <c r="E165" s="229">
        <v>317227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399934985</v>
      </c>
      <c r="D166" s="229">
        <f>SUM(D160:D165)</f>
        <v>411967039</v>
      </c>
      <c r="E166" s="229">
        <f>SUM(E160:E165)</f>
        <v>429912595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6089</v>
      </c>
      <c r="D169" s="218">
        <v>5672</v>
      </c>
      <c r="E169" s="218">
        <v>5525</v>
      </c>
    </row>
    <row r="170" spans="1:6" ht="20.100000000000001" customHeight="1" x14ac:dyDescent="0.2">
      <c r="A170" s="226">
        <v>2</v>
      </c>
      <c r="B170" s="224" t="s">
        <v>420</v>
      </c>
      <c r="C170" s="218">
        <v>6932</v>
      </c>
      <c r="D170" s="218">
        <v>7260</v>
      </c>
      <c r="E170" s="218">
        <v>7117</v>
      </c>
    </row>
    <row r="171" spans="1:6" ht="20.100000000000001" customHeight="1" x14ac:dyDescent="0.2">
      <c r="A171" s="226">
        <v>3</v>
      </c>
      <c r="B171" s="224" t="s">
        <v>421</v>
      </c>
      <c r="C171" s="218">
        <v>6004</v>
      </c>
      <c r="D171" s="218">
        <v>5984</v>
      </c>
      <c r="E171" s="218">
        <v>5789</v>
      </c>
    </row>
    <row r="172" spans="1:6" ht="20.100000000000001" customHeight="1" x14ac:dyDescent="0.2">
      <c r="A172" s="226">
        <v>4</v>
      </c>
      <c r="B172" s="224" t="s">
        <v>422</v>
      </c>
      <c r="C172" s="218">
        <v>6004</v>
      </c>
      <c r="D172" s="218">
        <v>5984</v>
      </c>
      <c r="E172" s="218">
        <v>5789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33</v>
      </c>
      <c r="D174" s="218">
        <v>20</v>
      </c>
      <c r="E174" s="218">
        <v>22</v>
      </c>
    </row>
    <row r="175" spans="1:6" ht="20.100000000000001" customHeight="1" x14ac:dyDescent="0.2">
      <c r="A175" s="226">
        <v>7</v>
      </c>
      <c r="B175" s="224" t="s">
        <v>425</v>
      </c>
      <c r="C175" s="218">
        <v>262</v>
      </c>
      <c r="D175" s="218">
        <v>296</v>
      </c>
      <c r="E175" s="218">
        <v>301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19058</v>
      </c>
      <c r="D176" s="218">
        <f>+D169+D170+D171+D174</f>
        <v>18936</v>
      </c>
      <c r="E176" s="218">
        <f>+E169+E170+E171+E174</f>
        <v>18453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1.2248300000000001</v>
      </c>
      <c r="D179" s="231">
        <v>1.2174799999999999</v>
      </c>
      <c r="E179" s="231">
        <v>1.2422</v>
      </c>
    </row>
    <row r="180" spans="1:6" ht="20.100000000000001" customHeight="1" x14ac:dyDescent="0.2">
      <c r="A180" s="226">
        <v>2</v>
      </c>
      <c r="B180" s="224" t="s">
        <v>420</v>
      </c>
      <c r="C180" s="231">
        <v>1.6128899999999999</v>
      </c>
      <c r="D180" s="231">
        <v>1.5809899999999999</v>
      </c>
      <c r="E180" s="231">
        <v>1.5920700000000001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0.99748999999999999</v>
      </c>
      <c r="D181" s="231">
        <v>0.97424999999999995</v>
      </c>
      <c r="E181" s="231">
        <v>1.0349299999999999</v>
      </c>
    </row>
    <row r="182" spans="1:6" ht="20.100000000000001" customHeight="1" x14ac:dyDescent="0.2">
      <c r="A182" s="226">
        <v>4</v>
      </c>
      <c r="B182" s="224" t="s">
        <v>422</v>
      </c>
      <c r="C182" s="231">
        <v>0.99748999999999999</v>
      </c>
      <c r="D182" s="231">
        <v>0.97424999999999995</v>
      </c>
      <c r="E182" s="231">
        <v>1.0349299999999999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0.87963000000000002</v>
      </c>
      <c r="D184" s="231">
        <v>1.05752</v>
      </c>
      <c r="E184" s="231">
        <v>1.2058500000000001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1.14876</v>
      </c>
      <c r="D185" s="231">
        <v>1.0761799999999999</v>
      </c>
      <c r="E185" s="231">
        <v>1.1533199999999999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1.2937609999999999</v>
      </c>
      <c r="D186" s="231">
        <v>1.2798160000000001</v>
      </c>
      <c r="E186" s="231">
        <v>1.312071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11166</v>
      </c>
      <c r="D189" s="218">
        <v>11267</v>
      </c>
      <c r="E189" s="218">
        <v>10835</v>
      </c>
    </row>
    <row r="190" spans="1:6" ht="20.100000000000001" customHeight="1" x14ac:dyDescent="0.2">
      <c r="A190" s="226">
        <v>2</v>
      </c>
      <c r="B190" s="224" t="s">
        <v>433</v>
      </c>
      <c r="C190" s="218">
        <v>65670</v>
      </c>
      <c r="D190" s="218">
        <v>67791</v>
      </c>
      <c r="E190" s="218">
        <v>66060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76836</v>
      </c>
      <c r="D191" s="218">
        <f>+D190+D189</f>
        <v>79058</v>
      </c>
      <c r="E191" s="218">
        <f>+E190+E189</f>
        <v>76895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8486163</v>
      </c>
      <c r="D14" s="258">
        <v>3299596</v>
      </c>
      <c r="E14" s="258">
        <f t="shared" ref="E14:E24" si="0">D14-C14</f>
        <v>-5186567</v>
      </c>
      <c r="F14" s="259">
        <f t="shared" ref="F14:F24" si="1">IF(C14=0,0,E14/C14)</f>
        <v>-0.61117928090704832</v>
      </c>
    </row>
    <row r="15" spans="1:7" ht="20.25" customHeight="1" x14ac:dyDescent="0.3">
      <c r="A15" s="256">
        <v>2</v>
      </c>
      <c r="B15" s="257" t="s">
        <v>442</v>
      </c>
      <c r="C15" s="258">
        <v>2225597</v>
      </c>
      <c r="D15" s="258">
        <v>950844</v>
      </c>
      <c r="E15" s="258">
        <f t="shared" si="0"/>
        <v>-1274753</v>
      </c>
      <c r="F15" s="259">
        <f t="shared" si="1"/>
        <v>-0.57276901433637806</v>
      </c>
    </row>
    <row r="16" spans="1:7" ht="20.25" customHeight="1" x14ac:dyDescent="0.3">
      <c r="A16" s="256">
        <v>3</v>
      </c>
      <c r="B16" s="257" t="s">
        <v>443</v>
      </c>
      <c r="C16" s="258">
        <v>3819026</v>
      </c>
      <c r="D16" s="258">
        <v>1709714</v>
      </c>
      <c r="E16" s="258">
        <f t="shared" si="0"/>
        <v>-2109312</v>
      </c>
      <c r="F16" s="259">
        <f t="shared" si="1"/>
        <v>-0.55231674254116103</v>
      </c>
    </row>
    <row r="17" spans="1:6" ht="20.25" customHeight="1" x14ac:dyDescent="0.3">
      <c r="A17" s="256">
        <v>4</v>
      </c>
      <c r="B17" s="257" t="s">
        <v>444</v>
      </c>
      <c r="C17" s="258">
        <v>827389</v>
      </c>
      <c r="D17" s="258">
        <v>323208</v>
      </c>
      <c r="E17" s="258">
        <f t="shared" si="0"/>
        <v>-504181</v>
      </c>
      <c r="F17" s="259">
        <f t="shared" si="1"/>
        <v>-0.60936391467616802</v>
      </c>
    </row>
    <row r="18" spans="1:6" ht="20.25" customHeight="1" x14ac:dyDescent="0.3">
      <c r="A18" s="256">
        <v>5</v>
      </c>
      <c r="B18" s="257" t="s">
        <v>381</v>
      </c>
      <c r="C18" s="260">
        <v>138</v>
      </c>
      <c r="D18" s="260">
        <v>59</v>
      </c>
      <c r="E18" s="260">
        <f t="shared" si="0"/>
        <v>-79</v>
      </c>
      <c r="F18" s="259">
        <f t="shared" si="1"/>
        <v>-0.57246376811594202</v>
      </c>
    </row>
    <row r="19" spans="1:6" ht="20.25" customHeight="1" x14ac:dyDescent="0.3">
      <c r="A19" s="256">
        <v>6</v>
      </c>
      <c r="B19" s="257" t="s">
        <v>380</v>
      </c>
      <c r="C19" s="260">
        <v>1011</v>
      </c>
      <c r="D19" s="260">
        <v>367</v>
      </c>
      <c r="E19" s="260">
        <f t="shared" si="0"/>
        <v>-644</v>
      </c>
      <c r="F19" s="259">
        <f t="shared" si="1"/>
        <v>-0.63699307616221568</v>
      </c>
    </row>
    <row r="20" spans="1:6" ht="20.25" customHeight="1" x14ac:dyDescent="0.3">
      <c r="A20" s="256">
        <v>7</v>
      </c>
      <c r="B20" s="257" t="s">
        <v>445</v>
      </c>
      <c r="C20" s="260">
        <v>957</v>
      </c>
      <c r="D20" s="260">
        <v>453</v>
      </c>
      <c r="E20" s="260">
        <f t="shared" si="0"/>
        <v>-504</v>
      </c>
      <c r="F20" s="259">
        <f t="shared" si="1"/>
        <v>-0.52664576802507834</v>
      </c>
    </row>
    <row r="21" spans="1:6" ht="20.25" customHeight="1" x14ac:dyDescent="0.3">
      <c r="A21" s="256">
        <v>8</v>
      </c>
      <c r="B21" s="257" t="s">
        <v>446</v>
      </c>
      <c r="C21" s="260">
        <v>94</v>
      </c>
      <c r="D21" s="260">
        <v>61</v>
      </c>
      <c r="E21" s="260">
        <f t="shared" si="0"/>
        <v>-33</v>
      </c>
      <c r="F21" s="259">
        <f t="shared" si="1"/>
        <v>-0.35106382978723405</v>
      </c>
    </row>
    <row r="22" spans="1:6" ht="20.25" customHeight="1" x14ac:dyDescent="0.3">
      <c r="A22" s="256">
        <v>9</v>
      </c>
      <c r="B22" s="257" t="s">
        <v>447</v>
      </c>
      <c r="C22" s="260">
        <v>102</v>
      </c>
      <c r="D22" s="260">
        <v>33</v>
      </c>
      <c r="E22" s="260">
        <f t="shared" si="0"/>
        <v>-69</v>
      </c>
      <c r="F22" s="259">
        <f t="shared" si="1"/>
        <v>-0.67647058823529416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12305189</v>
      </c>
      <c r="D23" s="263">
        <f>+D14+D16</f>
        <v>5009310</v>
      </c>
      <c r="E23" s="263">
        <f t="shared" si="0"/>
        <v>-7295879</v>
      </c>
      <c r="F23" s="264">
        <f t="shared" si="1"/>
        <v>-0.59291076309352098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3052986</v>
      </c>
      <c r="D24" s="263">
        <f>+D15+D17</f>
        <v>1274052</v>
      </c>
      <c r="E24" s="263">
        <f t="shared" si="0"/>
        <v>-1778934</v>
      </c>
      <c r="F24" s="264">
        <f t="shared" si="1"/>
        <v>-0.58268658945701024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0</v>
      </c>
      <c r="D40" s="258">
        <v>0</v>
      </c>
      <c r="E40" s="258">
        <f t="shared" ref="E40:E50" si="4">D40-C40</f>
        <v>0</v>
      </c>
      <c r="F40" s="259">
        <f t="shared" ref="F40:F50" si="5">IF(C40=0,0,E40/C40)</f>
        <v>0</v>
      </c>
    </row>
    <row r="41" spans="1:6" ht="20.25" customHeight="1" x14ac:dyDescent="0.3">
      <c r="A41" s="256">
        <v>2</v>
      </c>
      <c r="B41" s="257" t="s">
        <v>442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3</v>
      </c>
      <c r="B42" s="257" t="s">
        <v>443</v>
      </c>
      <c r="C42" s="258">
        <v>0</v>
      </c>
      <c r="D42" s="258">
        <v>0</v>
      </c>
      <c r="E42" s="258">
        <f t="shared" si="4"/>
        <v>0</v>
      </c>
      <c r="F42" s="259">
        <f t="shared" si="5"/>
        <v>0</v>
      </c>
    </row>
    <row r="43" spans="1:6" ht="20.25" customHeight="1" x14ac:dyDescent="0.3">
      <c r="A43" s="256">
        <v>4</v>
      </c>
      <c r="B43" s="257" t="s">
        <v>444</v>
      </c>
      <c r="C43" s="258">
        <v>0</v>
      </c>
      <c r="D43" s="258">
        <v>0</v>
      </c>
      <c r="E43" s="258">
        <f t="shared" si="4"/>
        <v>0</v>
      </c>
      <c r="F43" s="259">
        <f t="shared" si="5"/>
        <v>0</v>
      </c>
    </row>
    <row r="44" spans="1:6" ht="20.25" customHeight="1" x14ac:dyDescent="0.3">
      <c r="A44" s="256">
        <v>5</v>
      </c>
      <c r="B44" s="257" t="s">
        <v>381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6</v>
      </c>
      <c r="B45" s="257" t="s">
        <v>380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7</v>
      </c>
      <c r="B46" s="257" t="s">
        <v>445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ht="20.25" customHeight="1" x14ac:dyDescent="0.3">
      <c r="A47" s="256">
        <v>8</v>
      </c>
      <c r="B47" s="257" t="s">
        <v>446</v>
      </c>
      <c r="C47" s="260">
        <v>0</v>
      </c>
      <c r="D47" s="260">
        <v>0</v>
      </c>
      <c r="E47" s="260">
        <f t="shared" si="4"/>
        <v>0</v>
      </c>
      <c r="F47" s="259">
        <f t="shared" si="5"/>
        <v>0</v>
      </c>
    </row>
    <row r="48" spans="1:6" ht="20.25" customHeight="1" x14ac:dyDescent="0.3">
      <c r="A48" s="256">
        <v>9</v>
      </c>
      <c r="B48" s="257" t="s">
        <v>447</v>
      </c>
      <c r="C48" s="260">
        <v>0</v>
      </c>
      <c r="D48" s="260">
        <v>0</v>
      </c>
      <c r="E48" s="260">
        <f t="shared" si="4"/>
        <v>0</v>
      </c>
      <c r="F48" s="259">
        <f t="shared" si="5"/>
        <v>0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0</v>
      </c>
      <c r="D49" s="263">
        <f>+D40+D42</f>
        <v>0</v>
      </c>
      <c r="E49" s="263">
        <f t="shared" si="4"/>
        <v>0</v>
      </c>
      <c r="F49" s="264">
        <f t="shared" si="5"/>
        <v>0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0</v>
      </c>
      <c r="D50" s="263">
        <f>+D41+D43</f>
        <v>0</v>
      </c>
      <c r="E50" s="263">
        <f t="shared" si="4"/>
        <v>0</v>
      </c>
      <c r="F50" s="264">
        <f t="shared" si="5"/>
        <v>0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100860899</v>
      </c>
      <c r="D66" s="258">
        <v>111863111</v>
      </c>
      <c r="E66" s="258">
        <f t="shared" ref="E66:E76" si="8">D66-C66</f>
        <v>11002212</v>
      </c>
      <c r="F66" s="259">
        <f t="shared" ref="F66:F76" si="9">IF(C66=0,0,E66/C66)</f>
        <v>0.10908302532580044</v>
      </c>
    </row>
    <row r="67" spans="1:6" ht="20.25" customHeight="1" x14ac:dyDescent="0.3">
      <c r="A67" s="256">
        <v>2</v>
      </c>
      <c r="B67" s="257" t="s">
        <v>442</v>
      </c>
      <c r="C67" s="258">
        <v>28438502</v>
      </c>
      <c r="D67" s="258">
        <v>32069997</v>
      </c>
      <c r="E67" s="258">
        <f t="shared" si="8"/>
        <v>3631495</v>
      </c>
      <c r="F67" s="259">
        <f t="shared" si="9"/>
        <v>0.12769642367238612</v>
      </c>
    </row>
    <row r="68" spans="1:6" ht="20.25" customHeight="1" x14ac:dyDescent="0.3">
      <c r="A68" s="256">
        <v>3</v>
      </c>
      <c r="B68" s="257" t="s">
        <v>443</v>
      </c>
      <c r="C68" s="258">
        <v>43921791</v>
      </c>
      <c r="D68" s="258">
        <v>59365594</v>
      </c>
      <c r="E68" s="258">
        <f t="shared" si="8"/>
        <v>15443803</v>
      </c>
      <c r="F68" s="259">
        <f t="shared" si="9"/>
        <v>0.35162052021057155</v>
      </c>
    </row>
    <row r="69" spans="1:6" ht="20.25" customHeight="1" x14ac:dyDescent="0.3">
      <c r="A69" s="256">
        <v>4</v>
      </c>
      <c r="B69" s="257" t="s">
        <v>444</v>
      </c>
      <c r="C69" s="258">
        <v>9895291</v>
      </c>
      <c r="D69" s="258">
        <v>11737100</v>
      </c>
      <c r="E69" s="258">
        <f t="shared" si="8"/>
        <v>1841809</v>
      </c>
      <c r="F69" s="259">
        <f t="shared" si="9"/>
        <v>0.18612984701511051</v>
      </c>
    </row>
    <row r="70" spans="1:6" ht="20.25" customHeight="1" x14ac:dyDescent="0.3">
      <c r="A70" s="256">
        <v>5</v>
      </c>
      <c r="B70" s="257" t="s">
        <v>381</v>
      </c>
      <c r="C70" s="260">
        <v>1891</v>
      </c>
      <c r="D70" s="260">
        <v>1997</v>
      </c>
      <c r="E70" s="260">
        <f t="shared" si="8"/>
        <v>106</v>
      </c>
      <c r="F70" s="259">
        <f t="shared" si="9"/>
        <v>5.6054997355896349E-2</v>
      </c>
    </row>
    <row r="71" spans="1:6" ht="20.25" customHeight="1" x14ac:dyDescent="0.3">
      <c r="A71" s="256">
        <v>6</v>
      </c>
      <c r="B71" s="257" t="s">
        <v>380</v>
      </c>
      <c r="C71" s="260">
        <v>12335</v>
      </c>
      <c r="D71" s="260">
        <v>13608</v>
      </c>
      <c r="E71" s="260">
        <f t="shared" si="8"/>
        <v>1273</v>
      </c>
      <c r="F71" s="259">
        <f t="shared" si="9"/>
        <v>0.10320226996351844</v>
      </c>
    </row>
    <row r="72" spans="1:6" ht="20.25" customHeight="1" x14ac:dyDescent="0.3">
      <c r="A72" s="256">
        <v>7</v>
      </c>
      <c r="B72" s="257" t="s">
        <v>445</v>
      </c>
      <c r="C72" s="260">
        <v>9593</v>
      </c>
      <c r="D72" s="260">
        <v>11588</v>
      </c>
      <c r="E72" s="260">
        <f t="shared" si="8"/>
        <v>1995</v>
      </c>
      <c r="F72" s="259">
        <f t="shared" si="9"/>
        <v>0.20796414051912854</v>
      </c>
    </row>
    <row r="73" spans="1:6" ht="20.25" customHeight="1" x14ac:dyDescent="0.3">
      <c r="A73" s="256">
        <v>8</v>
      </c>
      <c r="B73" s="257" t="s">
        <v>446</v>
      </c>
      <c r="C73" s="260">
        <v>1830</v>
      </c>
      <c r="D73" s="260">
        <v>2039</v>
      </c>
      <c r="E73" s="260">
        <f t="shared" si="8"/>
        <v>209</v>
      </c>
      <c r="F73" s="259">
        <f t="shared" si="9"/>
        <v>0.11420765027322405</v>
      </c>
    </row>
    <row r="74" spans="1:6" ht="20.25" customHeight="1" x14ac:dyDescent="0.3">
      <c r="A74" s="256">
        <v>9</v>
      </c>
      <c r="B74" s="257" t="s">
        <v>447</v>
      </c>
      <c r="C74" s="260">
        <v>1522</v>
      </c>
      <c r="D74" s="260">
        <v>1557</v>
      </c>
      <c r="E74" s="260">
        <f t="shared" si="8"/>
        <v>35</v>
      </c>
      <c r="F74" s="259">
        <f t="shared" si="9"/>
        <v>2.2996057818659658E-2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144782690</v>
      </c>
      <c r="D75" s="263">
        <f>+D66+D68</f>
        <v>171228705</v>
      </c>
      <c r="E75" s="263">
        <f t="shared" si="8"/>
        <v>26446015</v>
      </c>
      <c r="F75" s="264">
        <f t="shared" si="9"/>
        <v>0.18266006108879451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38333793</v>
      </c>
      <c r="D76" s="263">
        <f>+D67+D69</f>
        <v>43807097</v>
      </c>
      <c r="E76" s="263">
        <f t="shared" si="8"/>
        <v>5473304</v>
      </c>
      <c r="F76" s="264">
        <f t="shared" si="9"/>
        <v>0.14278013135825093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243168</v>
      </c>
      <c r="D79" s="258">
        <v>0</v>
      </c>
      <c r="E79" s="258">
        <f t="shared" ref="E79:E89" si="10">D79-C79</f>
        <v>-243168</v>
      </c>
      <c r="F79" s="259">
        <f t="shared" ref="F79:F89" si="11">IF(C79=0,0,E79/C79)</f>
        <v>-1</v>
      </c>
    </row>
    <row r="80" spans="1:6" ht="20.25" customHeight="1" x14ac:dyDescent="0.3">
      <c r="A80" s="256">
        <v>2</v>
      </c>
      <c r="B80" s="257" t="s">
        <v>442</v>
      </c>
      <c r="C80" s="258">
        <v>25967</v>
      </c>
      <c r="D80" s="258">
        <v>0</v>
      </c>
      <c r="E80" s="258">
        <f t="shared" si="10"/>
        <v>-25967</v>
      </c>
      <c r="F80" s="259">
        <f t="shared" si="11"/>
        <v>-1</v>
      </c>
    </row>
    <row r="81" spans="1:6" ht="20.25" customHeight="1" x14ac:dyDescent="0.3">
      <c r="A81" s="256">
        <v>3</v>
      </c>
      <c r="B81" s="257" t="s">
        <v>443</v>
      </c>
      <c r="C81" s="258">
        <v>40161</v>
      </c>
      <c r="D81" s="258">
        <v>0</v>
      </c>
      <c r="E81" s="258">
        <f t="shared" si="10"/>
        <v>-40161</v>
      </c>
      <c r="F81" s="259">
        <f t="shared" si="11"/>
        <v>-1</v>
      </c>
    </row>
    <row r="82" spans="1:6" ht="20.25" customHeight="1" x14ac:dyDescent="0.3">
      <c r="A82" s="256">
        <v>4</v>
      </c>
      <c r="B82" s="257" t="s">
        <v>444</v>
      </c>
      <c r="C82" s="258">
        <v>14433</v>
      </c>
      <c r="D82" s="258">
        <v>0</v>
      </c>
      <c r="E82" s="258">
        <f t="shared" si="10"/>
        <v>-14433</v>
      </c>
      <c r="F82" s="259">
        <f t="shared" si="11"/>
        <v>-1</v>
      </c>
    </row>
    <row r="83" spans="1:6" ht="20.25" customHeight="1" x14ac:dyDescent="0.3">
      <c r="A83" s="256">
        <v>5</v>
      </c>
      <c r="B83" s="257" t="s">
        <v>381</v>
      </c>
      <c r="C83" s="260">
        <v>4</v>
      </c>
      <c r="D83" s="260">
        <v>0</v>
      </c>
      <c r="E83" s="260">
        <f t="shared" si="10"/>
        <v>-4</v>
      </c>
      <c r="F83" s="259">
        <f t="shared" si="11"/>
        <v>-1</v>
      </c>
    </row>
    <row r="84" spans="1:6" ht="20.25" customHeight="1" x14ac:dyDescent="0.3">
      <c r="A84" s="256">
        <v>6</v>
      </c>
      <c r="B84" s="257" t="s">
        <v>380</v>
      </c>
      <c r="C84" s="260">
        <v>73</v>
      </c>
      <c r="D84" s="260">
        <v>0</v>
      </c>
      <c r="E84" s="260">
        <f t="shared" si="10"/>
        <v>-73</v>
      </c>
      <c r="F84" s="259">
        <f t="shared" si="11"/>
        <v>-1</v>
      </c>
    </row>
    <row r="85" spans="1:6" ht="20.25" customHeight="1" x14ac:dyDescent="0.3">
      <c r="A85" s="256">
        <v>7</v>
      </c>
      <c r="B85" s="257" t="s">
        <v>445</v>
      </c>
      <c r="C85" s="260">
        <v>15</v>
      </c>
      <c r="D85" s="260">
        <v>0</v>
      </c>
      <c r="E85" s="260">
        <f t="shared" si="10"/>
        <v>-15</v>
      </c>
      <c r="F85" s="259">
        <f t="shared" si="11"/>
        <v>-1</v>
      </c>
    </row>
    <row r="86" spans="1:6" ht="20.25" customHeight="1" x14ac:dyDescent="0.3">
      <c r="A86" s="256">
        <v>8</v>
      </c>
      <c r="B86" s="257" t="s">
        <v>446</v>
      </c>
      <c r="C86" s="260">
        <v>1</v>
      </c>
      <c r="D86" s="260">
        <v>0</v>
      </c>
      <c r="E86" s="260">
        <f t="shared" si="10"/>
        <v>-1</v>
      </c>
      <c r="F86" s="259">
        <f t="shared" si="11"/>
        <v>-1</v>
      </c>
    </row>
    <row r="87" spans="1:6" ht="20.25" customHeight="1" x14ac:dyDescent="0.3">
      <c r="A87" s="256">
        <v>9</v>
      </c>
      <c r="B87" s="257" t="s">
        <v>447</v>
      </c>
      <c r="C87" s="260">
        <v>4</v>
      </c>
      <c r="D87" s="260">
        <v>0</v>
      </c>
      <c r="E87" s="260">
        <f t="shared" si="10"/>
        <v>-4</v>
      </c>
      <c r="F87" s="259">
        <f t="shared" si="11"/>
        <v>-1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283329</v>
      </c>
      <c r="D88" s="263">
        <f>+D79+D81</f>
        <v>0</v>
      </c>
      <c r="E88" s="263">
        <f t="shared" si="10"/>
        <v>-283329</v>
      </c>
      <c r="F88" s="264">
        <f t="shared" si="11"/>
        <v>-1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40400</v>
      </c>
      <c r="D89" s="263">
        <f>+D80+D82</f>
        <v>0</v>
      </c>
      <c r="E89" s="263">
        <f t="shared" si="10"/>
        <v>-40400</v>
      </c>
      <c r="F89" s="264">
        <f t="shared" si="11"/>
        <v>-1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8145465</v>
      </c>
      <c r="D105" s="258">
        <v>11804246</v>
      </c>
      <c r="E105" s="258">
        <f t="shared" ref="E105:E115" si="14">D105-C105</f>
        <v>3658781</v>
      </c>
      <c r="F105" s="259">
        <f t="shared" ref="F105:F115" si="15">IF(C105=0,0,E105/C105)</f>
        <v>0.44918012661032858</v>
      </c>
    </row>
    <row r="106" spans="1:6" ht="20.25" customHeight="1" x14ac:dyDescent="0.3">
      <c r="A106" s="256">
        <v>2</v>
      </c>
      <c r="B106" s="257" t="s">
        <v>442</v>
      </c>
      <c r="C106" s="258">
        <v>2200525</v>
      </c>
      <c r="D106" s="258">
        <v>3238225</v>
      </c>
      <c r="E106" s="258">
        <f t="shared" si="14"/>
        <v>1037700</v>
      </c>
      <c r="F106" s="259">
        <f t="shared" si="15"/>
        <v>0.47156928460253805</v>
      </c>
    </row>
    <row r="107" spans="1:6" ht="20.25" customHeight="1" x14ac:dyDescent="0.3">
      <c r="A107" s="256">
        <v>3</v>
      </c>
      <c r="B107" s="257" t="s">
        <v>443</v>
      </c>
      <c r="C107" s="258">
        <v>4479780</v>
      </c>
      <c r="D107" s="258">
        <v>7413697</v>
      </c>
      <c r="E107" s="258">
        <f t="shared" si="14"/>
        <v>2933917</v>
      </c>
      <c r="F107" s="259">
        <f t="shared" si="15"/>
        <v>0.65492434896356522</v>
      </c>
    </row>
    <row r="108" spans="1:6" ht="20.25" customHeight="1" x14ac:dyDescent="0.3">
      <c r="A108" s="256">
        <v>4</v>
      </c>
      <c r="B108" s="257" t="s">
        <v>444</v>
      </c>
      <c r="C108" s="258">
        <v>970465</v>
      </c>
      <c r="D108" s="258">
        <v>1401387</v>
      </c>
      <c r="E108" s="258">
        <f t="shared" si="14"/>
        <v>430922</v>
      </c>
      <c r="F108" s="259">
        <f t="shared" si="15"/>
        <v>0.44403662161953289</v>
      </c>
    </row>
    <row r="109" spans="1:6" ht="20.25" customHeight="1" x14ac:dyDescent="0.3">
      <c r="A109" s="256">
        <v>5</v>
      </c>
      <c r="B109" s="257" t="s">
        <v>381</v>
      </c>
      <c r="C109" s="260">
        <v>160</v>
      </c>
      <c r="D109" s="260">
        <v>194</v>
      </c>
      <c r="E109" s="260">
        <f t="shared" si="14"/>
        <v>34</v>
      </c>
      <c r="F109" s="259">
        <f t="shared" si="15"/>
        <v>0.21249999999999999</v>
      </c>
    </row>
    <row r="110" spans="1:6" ht="20.25" customHeight="1" x14ac:dyDescent="0.3">
      <c r="A110" s="256">
        <v>6</v>
      </c>
      <c r="B110" s="257" t="s">
        <v>380</v>
      </c>
      <c r="C110" s="260">
        <v>1140</v>
      </c>
      <c r="D110" s="260">
        <v>1500</v>
      </c>
      <c r="E110" s="260">
        <f t="shared" si="14"/>
        <v>360</v>
      </c>
      <c r="F110" s="259">
        <f t="shared" si="15"/>
        <v>0.31578947368421051</v>
      </c>
    </row>
    <row r="111" spans="1:6" ht="20.25" customHeight="1" x14ac:dyDescent="0.3">
      <c r="A111" s="256">
        <v>7</v>
      </c>
      <c r="B111" s="257" t="s">
        <v>445</v>
      </c>
      <c r="C111" s="260">
        <v>1146</v>
      </c>
      <c r="D111" s="260">
        <v>1386</v>
      </c>
      <c r="E111" s="260">
        <f t="shared" si="14"/>
        <v>240</v>
      </c>
      <c r="F111" s="259">
        <f t="shared" si="15"/>
        <v>0.20942408376963351</v>
      </c>
    </row>
    <row r="112" spans="1:6" ht="20.25" customHeight="1" x14ac:dyDescent="0.3">
      <c r="A112" s="256">
        <v>8</v>
      </c>
      <c r="B112" s="257" t="s">
        <v>446</v>
      </c>
      <c r="C112" s="260">
        <v>489</v>
      </c>
      <c r="D112" s="260">
        <v>510</v>
      </c>
      <c r="E112" s="260">
        <f t="shared" si="14"/>
        <v>21</v>
      </c>
      <c r="F112" s="259">
        <f t="shared" si="15"/>
        <v>4.2944785276073622E-2</v>
      </c>
    </row>
    <row r="113" spans="1:6" ht="20.25" customHeight="1" x14ac:dyDescent="0.3">
      <c r="A113" s="256">
        <v>9</v>
      </c>
      <c r="B113" s="257" t="s">
        <v>447</v>
      </c>
      <c r="C113" s="260">
        <v>143</v>
      </c>
      <c r="D113" s="260">
        <v>165</v>
      </c>
      <c r="E113" s="260">
        <f t="shared" si="14"/>
        <v>22</v>
      </c>
      <c r="F113" s="259">
        <f t="shared" si="15"/>
        <v>0.15384615384615385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12625245</v>
      </c>
      <c r="D114" s="263">
        <f>+D105+D107</f>
        <v>19217943</v>
      </c>
      <c r="E114" s="263">
        <f t="shared" si="14"/>
        <v>6592698</v>
      </c>
      <c r="F114" s="264">
        <f t="shared" si="15"/>
        <v>0.52218376752292728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3170990</v>
      </c>
      <c r="D115" s="263">
        <f>+D106+D108</f>
        <v>4639612</v>
      </c>
      <c r="E115" s="263">
        <f t="shared" si="14"/>
        <v>1468622</v>
      </c>
      <c r="F115" s="264">
        <f t="shared" si="15"/>
        <v>0.46314305626949315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0</v>
      </c>
      <c r="D118" s="258">
        <v>0</v>
      </c>
      <c r="E118" s="258">
        <f t="shared" ref="E118:E128" si="16">D118-C118</f>
        <v>0</v>
      </c>
      <c r="F118" s="259">
        <f t="shared" ref="F118:F128" si="17">IF(C118=0,0,E118/C118)</f>
        <v>0</v>
      </c>
    </row>
    <row r="119" spans="1:6" ht="20.25" customHeight="1" x14ac:dyDescent="0.3">
      <c r="A119" s="256">
        <v>2</v>
      </c>
      <c r="B119" s="257" t="s">
        <v>442</v>
      </c>
      <c r="C119" s="258">
        <v>0</v>
      </c>
      <c r="D119" s="258">
        <v>0</v>
      </c>
      <c r="E119" s="258">
        <f t="shared" si="16"/>
        <v>0</v>
      </c>
      <c r="F119" s="259">
        <f t="shared" si="17"/>
        <v>0</v>
      </c>
    </row>
    <row r="120" spans="1:6" ht="20.25" customHeight="1" x14ac:dyDescent="0.3">
      <c r="A120" s="256">
        <v>3</v>
      </c>
      <c r="B120" s="257" t="s">
        <v>443</v>
      </c>
      <c r="C120" s="258">
        <v>0</v>
      </c>
      <c r="D120" s="258">
        <v>0</v>
      </c>
      <c r="E120" s="258">
        <f t="shared" si="16"/>
        <v>0</v>
      </c>
      <c r="F120" s="259">
        <f t="shared" si="17"/>
        <v>0</v>
      </c>
    </row>
    <row r="121" spans="1:6" ht="20.25" customHeight="1" x14ac:dyDescent="0.3">
      <c r="A121" s="256">
        <v>4</v>
      </c>
      <c r="B121" s="257" t="s">
        <v>444</v>
      </c>
      <c r="C121" s="258">
        <v>0</v>
      </c>
      <c r="D121" s="258">
        <v>0</v>
      </c>
      <c r="E121" s="258">
        <f t="shared" si="16"/>
        <v>0</v>
      </c>
      <c r="F121" s="259">
        <f t="shared" si="17"/>
        <v>0</v>
      </c>
    </row>
    <row r="122" spans="1:6" ht="20.25" customHeight="1" x14ac:dyDescent="0.3">
      <c r="A122" s="256">
        <v>5</v>
      </c>
      <c r="B122" s="257" t="s">
        <v>381</v>
      </c>
      <c r="C122" s="260">
        <v>0</v>
      </c>
      <c r="D122" s="260">
        <v>0</v>
      </c>
      <c r="E122" s="260">
        <f t="shared" si="16"/>
        <v>0</v>
      </c>
      <c r="F122" s="259">
        <f t="shared" si="17"/>
        <v>0</v>
      </c>
    </row>
    <row r="123" spans="1:6" ht="20.25" customHeight="1" x14ac:dyDescent="0.3">
      <c r="A123" s="256">
        <v>6</v>
      </c>
      <c r="B123" s="257" t="s">
        <v>380</v>
      </c>
      <c r="C123" s="260">
        <v>0</v>
      </c>
      <c r="D123" s="260">
        <v>0</v>
      </c>
      <c r="E123" s="260">
        <f t="shared" si="16"/>
        <v>0</v>
      </c>
      <c r="F123" s="259">
        <f t="shared" si="17"/>
        <v>0</v>
      </c>
    </row>
    <row r="124" spans="1:6" ht="20.25" customHeight="1" x14ac:dyDescent="0.3">
      <c r="A124" s="256">
        <v>7</v>
      </c>
      <c r="B124" s="257" t="s">
        <v>445</v>
      </c>
      <c r="C124" s="260">
        <v>0</v>
      </c>
      <c r="D124" s="260">
        <v>0</v>
      </c>
      <c r="E124" s="260">
        <f t="shared" si="16"/>
        <v>0</v>
      </c>
      <c r="F124" s="259">
        <f t="shared" si="17"/>
        <v>0</v>
      </c>
    </row>
    <row r="125" spans="1:6" ht="20.25" customHeight="1" x14ac:dyDescent="0.3">
      <c r="A125" s="256">
        <v>8</v>
      </c>
      <c r="B125" s="257" t="s">
        <v>446</v>
      </c>
      <c r="C125" s="260">
        <v>0</v>
      </c>
      <c r="D125" s="260">
        <v>0</v>
      </c>
      <c r="E125" s="260">
        <f t="shared" si="16"/>
        <v>0</v>
      </c>
      <c r="F125" s="259">
        <f t="shared" si="17"/>
        <v>0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0</v>
      </c>
      <c r="E126" s="260">
        <f t="shared" si="16"/>
        <v>0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0</v>
      </c>
      <c r="D127" s="263">
        <f>+D118+D120</f>
        <v>0</v>
      </c>
      <c r="E127" s="263">
        <f t="shared" si="16"/>
        <v>0</v>
      </c>
      <c r="F127" s="264">
        <f t="shared" si="17"/>
        <v>0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0</v>
      </c>
      <c r="D128" s="263">
        <f>+D119+D121</f>
        <v>0</v>
      </c>
      <c r="E128" s="263">
        <f t="shared" si="16"/>
        <v>0</v>
      </c>
      <c r="F128" s="264">
        <f t="shared" si="17"/>
        <v>0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117735695</v>
      </c>
      <c r="D198" s="263">
        <f t="shared" si="28"/>
        <v>126966953</v>
      </c>
      <c r="E198" s="263">
        <f t="shared" ref="E198:E208" si="29">D198-C198</f>
        <v>9231258</v>
      </c>
      <c r="F198" s="273">
        <f t="shared" ref="F198:F208" si="30">IF(C198=0,0,E198/C198)</f>
        <v>7.8406620863791562E-2</v>
      </c>
    </row>
    <row r="199" spans="1:9" ht="20.25" customHeight="1" x14ac:dyDescent="0.3">
      <c r="A199" s="271"/>
      <c r="B199" s="272" t="s">
        <v>466</v>
      </c>
      <c r="C199" s="263">
        <f t="shared" si="28"/>
        <v>32890591</v>
      </c>
      <c r="D199" s="263">
        <f t="shared" si="28"/>
        <v>36259066</v>
      </c>
      <c r="E199" s="263">
        <f t="shared" si="29"/>
        <v>3368475</v>
      </c>
      <c r="F199" s="273">
        <f t="shared" si="30"/>
        <v>0.10241454767413574</v>
      </c>
    </row>
    <row r="200" spans="1:9" ht="20.25" customHeight="1" x14ac:dyDescent="0.3">
      <c r="A200" s="271"/>
      <c r="B200" s="272" t="s">
        <v>467</v>
      </c>
      <c r="C200" s="263">
        <f t="shared" si="28"/>
        <v>52260758</v>
      </c>
      <c r="D200" s="263">
        <f t="shared" si="28"/>
        <v>68489005</v>
      </c>
      <c r="E200" s="263">
        <f t="shared" si="29"/>
        <v>16228247</v>
      </c>
      <c r="F200" s="273">
        <f t="shared" si="30"/>
        <v>0.31052452396499874</v>
      </c>
    </row>
    <row r="201" spans="1:9" ht="20.25" customHeight="1" x14ac:dyDescent="0.3">
      <c r="A201" s="271"/>
      <c r="B201" s="272" t="s">
        <v>468</v>
      </c>
      <c r="C201" s="263">
        <f t="shared" si="28"/>
        <v>11707578</v>
      </c>
      <c r="D201" s="263">
        <f t="shared" si="28"/>
        <v>13461695</v>
      </c>
      <c r="E201" s="263">
        <f t="shared" si="29"/>
        <v>1754117</v>
      </c>
      <c r="F201" s="273">
        <f t="shared" si="30"/>
        <v>0.14982748780319893</v>
      </c>
    </row>
    <row r="202" spans="1:9" ht="20.25" customHeight="1" x14ac:dyDescent="0.3">
      <c r="A202" s="271"/>
      <c r="B202" s="272" t="s">
        <v>138</v>
      </c>
      <c r="C202" s="274">
        <f t="shared" si="28"/>
        <v>2193</v>
      </c>
      <c r="D202" s="274">
        <f t="shared" si="28"/>
        <v>2250</v>
      </c>
      <c r="E202" s="274">
        <f t="shared" si="29"/>
        <v>57</v>
      </c>
      <c r="F202" s="273">
        <f t="shared" si="30"/>
        <v>2.5991792065663474E-2</v>
      </c>
    </row>
    <row r="203" spans="1:9" ht="20.25" customHeight="1" x14ac:dyDescent="0.3">
      <c r="A203" s="271"/>
      <c r="B203" s="272" t="s">
        <v>140</v>
      </c>
      <c r="C203" s="274">
        <f t="shared" si="28"/>
        <v>14559</v>
      </c>
      <c r="D203" s="274">
        <f t="shared" si="28"/>
        <v>15475</v>
      </c>
      <c r="E203" s="274">
        <f t="shared" si="29"/>
        <v>916</v>
      </c>
      <c r="F203" s="273">
        <f t="shared" si="30"/>
        <v>6.2916409094031178E-2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11711</v>
      </c>
      <c r="D204" s="274">
        <f t="shared" si="28"/>
        <v>13427</v>
      </c>
      <c r="E204" s="274">
        <f t="shared" si="29"/>
        <v>1716</v>
      </c>
      <c r="F204" s="273">
        <f t="shared" si="30"/>
        <v>0.14652890444880881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2414</v>
      </c>
      <c r="D205" s="274">
        <f t="shared" si="28"/>
        <v>2610</v>
      </c>
      <c r="E205" s="274">
        <f t="shared" si="29"/>
        <v>196</v>
      </c>
      <c r="F205" s="273">
        <f t="shared" si="30"/>
        <v>8.1193040596520299E-2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1771</v>
      </c>
      <c r="D206" s="274">
        <f t="shared" si="28"/>
        <v>1755</v>
      </c>
      <c r="E206" s="274">
        <f t="shared" si="29"/>
        <v>-16</v>
      </c>
      <c r="F206" s="273">
        <f t="shared" si="30"/>
        <v>-9.0344438170525121E-3</v>
      </c>
    </row>
    <row r="207" spans="1:9" ht="20.25" customHeight="1" x14ac:dyDescent="0.3">
      <c r="A207" s="271"/>
      <c r="B207" s="262" t="s">
        <v>471</v>
      </c>
      <c r="C207" s="263">
        <f>+C198+C200</f>
        <v>169996453</v>
      </c>
      <c r="D207" s="263">
        <f>+D198+D200</f>
        <v>195455958</v>
      </c>
      <c r="E207" s="263">
        <f t="shared" si="29"/>
        <v>25459505</v>
      </c>
      <c r="F207" s="273">
        <f t="shared" si="30"/>
        <v>0.14976491891863178</v>
      </c>
    </row>
    <row r="208" spans="1:9" ht="20.25" customHeight="1" x14ac:dyDescent="0.3">
      <c r="A208" s="271"/>
      <c r="B208" s="262" t="s">
        <v>472</v>
      </c>
      <c r="C208" s="263">
        <f>+C199+C201</f>
        <v>44598169</v>
      </c>
      <c r="D208" s="263">
        <f>+D199+D201</f>
        <v>49720761</v>
      </c>
      <c r="E208" s="263">
        <f t="shared" si="29"/>
        <v>5122592</v>
      </c>
      <c r="F208" s="273">
        <f t="shared" si="30"/>
        <v>0.11486103835339069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7682497</v>
      </c>
      <c r="D26" s="258">
        <v>0</v>
      </c>
      <c r="E26" s="258">
        <f t="shared" ref="E26:E36" si="2">D26-C26</f>
        <v>-7682497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1392750</v>
      </c>
      <c r="D27" s="258">
        <v>0</v>
      </c>
      <c r="E27" s="258">
        <f t="shared" si="2"/>
        <v>-1392750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14475984</v>
      </c>
      <c r="D28" s="258">
        <v>0</v>
      </c>
      <c r="E28" s="258">
        <f t="shared" si="2"/>
        <v>-14475984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2680602</v>
      </c>
      <c r="D29" s="258">
        <v>0</v>
      </c>
      <c r="E29" s="258">
        <f t="shared" si="2"/>
        <v>-2680602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362</v>
      </c>
      <c r="D30" s="260">
        <v>0</v>
      </c>
      <c r="E30" s="260">
        <f t="shared" si="2"/>
        <v>-362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1108</v>
      </c>
      <c r="D31" s="260">
        <v>0</v>
      </c>
      <c r="E31" s="260">
        <f t="shared" si="2"/>
        <v>-1108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4524</v>
      </c>
      <c r="D32" s="260">
        <v>0</v>
      </c>
      <c r="E32" s="260">
        <f t="shared" si="2"/>
        <v>-4524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3069</v>
      </c>
      <c r="D33" s="260">
        <v>0</v>
      </c>
      <c r="E33" s="260">
        <f t="shared" si="2"/>
        <v>-3069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153</v>
      </c>
      <c r="D34" s="260">
        <v>0</v>
      </c>
      <c r="E34" s="260">
        <f t="shared" si="2"/>
        <v>-153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22158481</v>
      </c>
      <c r="D35" s="263">
        <f>+D26+D28</f>
        <v>0</v>
      </c>
      <c r="E35" s="263">
        <f t="shared" si="2"/>
        <v>-22158481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4073352</v>
      </c>
      <c r="D36" s="263">
        <f>+D27+D29</f>
        <v>0</v>
      </c>
      <c r="E36" s="263">
        <f t="shared" si="2"/>
        <v>-4073352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2608081</v>
      </c>
      <c r="D38" s="258">
        <v>0</v>
      </c>
      <c r="E38" s="258">
        <f t="shared" ref="E38:E48" si="4">D38-C38</f>
        <v>-2608081</v>
      </c>
      <c r="F38" s="259">
        <f t="shared" ref="F38:F48" si="5">IF(C38=0,0,E38/C38)</f>
        <v>-1</v>
      </c>
    </row>
    <row r="39" spans="1:6" ht="20.25" customHeight="1" x14ac:dyDescent="0.3">
      <c r="A39" s="256">
        <v>2</v>
      </c>
      <c r="B39" s="257" t="s">
        <v>442</v>
      </c>
      <c r="C39" s="258">
        <v>448477</v>
      </c>
      <c r="D39" s="258">
        <v>0</v>
      </c>
      <c r="E39" s="258">
        <f t="shared" si="4"/>
        <v>-448477</v>
      </c>
      <c r="F39" s="259">
        <f t="shared" si="5"/>
        <v>-1</v>
      </c>
    </row>
    <row r="40" spans="1:6" ht="20.25" customHeight="1" x14ac:dyDescent="0.3">
      <c r="A40" s="256">
        <v>3</v>
      </c>
      <c r="B40" s="257" t="s">
        <v>443</v>
      </c>
      <c r="C40" s="258">
        <v>4148451</v>
      </c>
      <c r="D40" s="258">
        <v>0</v>
      </c>
      <c r="E40" s="258">
        <f t="shared" si="4"/>
        <v>-4148451</v>
      </c>
      <c r="F40" s="259">
        <f t="shared" si="5"/>
        <v>-1</v>
      </c>
    </row>
    <row r="41" spans="1:6" ht="20.25" customHeight="1" x14ac:dyDescent="0.3">
      <c r="A41" s="256">
        <v>4</v>
      </c>
      <c r="B41" s="257" t="s">
        <v>444</v>
      </c>
      <c r="C41" s="258">
        <v>794934</v>
      </c>
      <c r="D41" s="258">
        <v>0</v>
      </c>
      <c r="E41" s="258">
        <f t="shared" si="4"/>
        <v>-794934</v>
      </c>
      <c r="F41" s="259">
        <f t="shared" si="5"/>
        <v>-1</v>
      </c>
    </row>
    <row r="42" spans="1:6" ht="20.25" customHeight="1" x14ac:dyDescent="0.3">
      <c r="A42" s="256">
        <v>5</v>
      </c>
      <c r="B42" s="257" t="s">
        <v>381</v>
      </c>
      <c r="C42" s="260">
        <v>117</v>
      </c>
      <c r="D42" s="260">
        <v>0</v>
      </c>
      <c r="E42" s="260">
        <f t="shared" si="4"/>
        <v>-117</v>
      </c>
      <c r="F42" s="259">
        <f t="shared" si="5"/>
        <v>-1</v>
      </c>
    </row>
    <row r="43" spans="1:6" ht="20.25" customHeight="1" x14ac:dyDescent="0.3">
      <c r="A43" s="256">
        <v>6</v>
      </c>
      <c r="B43" s="257" t="s">
        <v>380</v>
      </c>
      <c r="C43" s="260">
        <v>356</v>
      </c>
      <c r="D43" s="260">
        <v>0</v>
      </c>
      <c r="E43" s="260">
        <f t="shared" si="4"/>
        <v>-356</v>
      </c>
      <c r="F43" s="259">
        <f t="shared" si="5"/>
        <v>-1</v>
      </c>
    </row>
    <row r="44" spans="1:6" ht="20.25" customHeight="1" x14ac:dyDescent="0.3">
      <c r="A44" s="256">
        <v>7</v>
      </c>
      <c r="B44" s="257" t="s">
        <v>445</v>
      </c>
      <c r="C44" s="260">
        <v>1455</v>
      </c>
      <c r="D44" s="260">
        <v>0</v>
      </c>
      <c r="E44" s="260">
        <f t="shared" si="4"/>
        <v>-1455</v>
      </c>
      <c r="F44" s="259">
        <f t="shared" si="5"/>
        <v>-1</v>
      </c>
    </row>
    <row r="45" spans="1:6" ht="20.25" customHeight="1" x14ac:dyDescent="0.3">
      <c r="A45" s="256">
        <v>8</v>
      </c>
      <c r="B45" s="257" t="s">
        <v>446</v>
      </c>
      <c r="C45" s="260">
        <v>835</v>
      </c>
      <c r="D45" s="260">
        <v>0</v>
      </c>
      <c r="E45" s="260">
        <f t="shared" si="4"/>
        <v>-835</v>
      </c>
      <c r="F45" s="259">
        <f t="shared" si="5"/>
        <v>-1</v>
      </c>
    </row>
    <row r="46" spans="1:6" ht="20.25" customHeight="1" x14ac:dyDescent="0.3">
      <c r="A46" s="256">
        <v>9</v>
      </c>
      <c r="B46" s="257" t="s">
        <v>447</v>
      </c>
      <c r="C46" s="260">
        <v>34</v>
      </c>
      <c r="D46" s="260">
        <v>0</v>
      </c>
      <c r="E46" s="260">
        <f t="shared" si="4"/>
        <v>-34</v>
      </c>
      <c r="F46" s="259">
        <f t="shared" si="5"/>
        <v>-1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6756532</v>
      </c>
      <c r="D47" s="263">
        <f>+D38+D40</f>
        <v>0</v>
      </c>
      <c r="E47" s="263">
        <f t="shared" si="4"/>
        <v>-6756532</v>
      </c>
      <c r="F47" s="264">
        <f t="shared" si="5"/>
        <v>-1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1243411</v>
      </c>
      <c r="D48" s="263">
        <f>+D39+D41</f>
        <v>0</v>
      </c>
      <c r="E48" s="263">
        <f t="shared" si="4"/>
        <v>-1243411</v>
      </c>
      <c r="F48" s="264">
        <f t="shared" si="5"/>
        <v>-1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452586</v>
      </c>
      <c r="D50" s="258">
        <v>0</v>
      </c>
      <c r="E50" s="258">
        <f t="shared" ref="E50:E60" si="6">D50-C50</f>
        <v>-452586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83226</v>
      </c>
      <c r="D51" s="258">
        <v>0</v>
      </c>
      <c r="E51" s="258">
        <f t="shared" si="6"/>
        <v>-83226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379576</v>
      </c>
      <c r="D52" s="258">
        <v>0</v>
      </c>
      <c r="E52" s="258">
        <f t="shared" si="6"/>
        <v>-379576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56369</v>
      </c>
      <c r="D53" s="258">
        <v>0</v>
      </c>
      <c r="E53" s="258">
        <f t="shared" si="6"/>
        <v>-56369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21</v>
      </c>
      <c r="D54" s="260">
        <v>0</v>
      </c>
      <c r="E54" s="260">
        <f t="shared" si="6"/>
        <v>-21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66</v>
      </c>
      <c r="D55" s="260">
        <v>0</v>
      </c>
      <c r="E55" s="260">
        <f t="shared" si="6"/>
        <v>-66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8</v>
      </c>
      <c r="D56" s="260">
        <v>0</v>
      </c>
      <c r="E56" s="260">
        <f t="shared" si="6"/>
        <v>-8</v>
      </c>
      <c r="F56" s="259">
        <f t="shared" si="7"/>
        <v>-1</v>
      </c>
    </row>
    <row r="57" spans="1:6" ht="20.25" customHeight="1" x14ac:dyDescent="0.3">
      <c r="A57" s="256">
        <v>8</v>
      </c>
      <c r="B57" s="257" t="s">
        <v>446</v>
      </c>
      <c r="C57" s="260">
        <v>152</v>
      </c>
      <c r="D57" s="260">
        <v>0</v>
      </c>
      <c r="E57" s="260">
        <f t="shared" si="6"/>
        <v>-152</v>
      </c>
      <c r="F57" s="259">
        <f t="shared" si="7"/>
        <v>-1</v>
      </c>
    </row>
    <row r="58" spans="1:6" ht="20.25" customHeight="1" x14ac:dyDescent="0.3">
      <c r="A58" s="256">
        <v>9</v>
      </c>
      <c r="B58" s="257" t="s">
        <v>447</v>
      </c>
      <c r="C58" s="260">
        <v>18</v>
      </c>
      <c r="D58" s="260">
        <v>0</v>
      </c>
      <c r="E58" s="260">
        <f t="shared" si="6"/>
        <v>-18</v>
      </c>
      <c r="F58" s="259">
        <f t="shared" si="7"/>
        <v>-1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832162</v>
      </c>
      <c r="D59" s="263">
        <f>+D50+D52</f>
        <v>0</v>
      </c>
      <c r="E59" s="263">
        <f t="shared" si="6"/>
        <v>-832162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139595</v>
      </c>
      <c r="D60" s="263">
        <f>+D51+D53</f>
        <v>0</v>
      </c>
      <c r="E60" s="263">
        <f t="shared" si="6"/>
        <v>-139595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3452748</v>
      </c>
      <c r="D98" s="258">
        <v>0</v>
      </c>
      <c r="E98" s="258">
        <f t="shared" ref="E98:E108" si="14">D98-C98</f>
        <v>-3452748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668979</v>
      </c>
      <c r="D99" s="258">
        <v>0</v>
      </c>
      <c r="E99" s="258">
        <f t="shared" si="14"/>
        <v>-668979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5549952</v>
      </c>
      <c r="D100" s="258">
        <v>0</v>
      </c>
      <c r="E100" s="258">
        <f t="shared" si="14"/>
        <v>-5549952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994247</v>
      </c>
      <c r="D101" s="258">
        <v>0</v>
      </c>
      <c r="E101" s="258">
        <f t="shared" si="14"/>
        <v>-994247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172</v>
      </c>
      <c r="D102" s="260">
        <v>0</v>
      </c>
      <c r="E102" s="260">
        <f t="shared" si="14"/>
        <v>-172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506</v>
      </c>
      <c r="D103" s="260">
        <v>0</v>
      </c>
      <c r="E103" s="260">
        <f t="shared" si="14"/>
        <v>-506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1955</v>
      </c>
      <c r="D104" s="260">
        <v>0</v>
      </c>
      <c r="E104" s="260">
        <f t="shared" si="14"/>
        <v>-1955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1180</v>
      </c>
      <c r="D105" s="260">
        <v>0</v>
      </c>
      <c r="E105" s="260">
        <f t="shared" si="14"/>
        <v>-1180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72</v>
      </c>
      <c r="D106" s="260">
        <v>0</v>
      </c>
      <c r="E106" s="260">
        <f t="shared" si="14"/>
        <v>-72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9002700</v>
      </c>
      <c r="D107" s="263">
        <f>+D98+D100</f>
        <v>0</v>
      </c>
      <c r="E107" s="263">
        <f t="shared" si="14"/>
        <v>-9002700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1663226</v>
      </c>
      <c r="D108" s="263">
        <f>+D99+D101</f>
        <v>0</v>
      </c>
      <c r="E108" s="263">
        <f t="shared" si="14"/>
        <v>-1663226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14195912</v>
      </c>
      <c r="D112" s="263">
        <f t="shared" si="16"/>
        <v>0</v>
      </c>
      <c r="E112" s="263">
        <f t="shared" ref="E112:E122" si="17">D112-C112</f>
        <v>-14195912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2593432</v>
      </c>
      <c r="D113" s="263">
        <f t="shared" si="16"/>
        <v>0</v>
      </c>
      <c r="E113" s="263">
        <f t="shared" si="17"/>
        <v>-2593432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24553963</v>
      </c>
      <c r="D114" s="263">
        <f t="shared" si="16"/>
        <v>0</v>
      </c>
      <c r="E114" s="263">
        <f t="shared" si="17"/>
        <v>-24553963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4526152</v>
      </c>
      <c r="D115" s="263">
        <f t="shared" si="16"/>
        <v>0</v>
      </c>
      <c r="E115" s="263">
        <f t="shared" si="17"/>
        <v>-4526152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672</v>
      </c>
      <c r="D116" s="287">
        <f t="shared" si="16"/>
        <v>0</v>
      </c>
      <c r="E116" s="287">
        <f t="shared" si="17"/>
        <v>-672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2036</v>
      </c>
      <c r="D117" s="287">
        <f t="shared" si="16"/>
        <v>0</v>
      </c>
      <c r="E117" s="287">
        <f t="shared" si="17"/>
        <v>-2036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7942</v>
      </c>
      <c r="D118" s="287">
        <f t="shared" si="16"/>
        <v>0</v>
      </c>
      <c r="E118" s="287">
        <f t="shared" si="17"/>
        <v>-7942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5236</v>
      </c>
      <c r="D119" s="287">
        <f t="shared" si="16"/>
        <v>0</v>
      </c>
      <c r="E119" s="287">
        <f t="shared" si="17"/>
        <v>-5236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277</v>
      </c>
      <c r="D120" s="287">
        <f t="shared" si="16"/>
        <v>0</v>
      </c>
      <c r="E120" s="287">
        <f t="shared" si="17"/>
        <v>-277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38749875</v>
      </c>
      <c r="D121" s="263">
        <f>+D112+D114</f>
        <v>0</v>
      </c>
      <c r="E121" s="263">
        <f t="shared" si="17"/>
        <v>-38749875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7119584</v>
      </c>
      <c r="D122" s="263">
        <f>+D113+D115</f>
        <v>0</v>
      </c>
      <c r="E122" s="263">
        <f t="shared" si="17"/>
        <v>-7119584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16072000</v>
      </c>
      <c r="D13" s="22">
        <v>30636000</v>
      </c>
      <c r="E13" s="22">
        <f t="shared" ref="E13:E22" si="0">D13-C13</f>
        <v>14564000</v>
      </c>
      <c r="F13" s="306">
        <f t="shared" ref="F13:F22" si="1">IF(C13=0,0,E13/C13)</f>
        <v>0.90617222498755601</v>
      </c>
    </row>
    <row r="14" spans="1:8" ht="24" customHeight="1" x14ac:dyDescent="0.2">
      <c r="A14" s="304">
        <v>2</v>
      </c>
      <c r="B14" s="305" t="s">
        <v>17</v>
      </c>
      <c r="C14" s="22">
        <v>69590000</v>
      </c>
      <c r="D14" s="22">
        <v>64307000</v>
      </c>
      <c r="E14" s="22">
        <f t="shared" si="0"/>
        <v>-5283000</v>
      </c>
      <c r="F14" s="306">
        <f t="shared" si="1"/>
        <v>-7.5916079896536856E-2</v>
      </c>
    </row>
    <row r="15" spans="1:8" ht="35.1" customHeight="1" x14ac:dyDescent="0.2">
      <c r="A15" s="304">
        <v>3</v>
      </c>
      <c r="B15" s="305" t="s">
        <v>18</v>
      </c>
      <c r="C15" s="22">
        <v>42983000</v>
      </c>
      <c r="D15" s="22">
        <v>51432000</v>
      </c>
      <c r="E15" s="22">
        <f t="shared" si="0"/>
        <v>8449000</v>
      </c>
      <c r="F15" s="306">
        <f t="shared" si="1"/>
        <v>0.19656608426587255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11424000</v>
      </c>
      <c r="D18" s="22">
        <v>10552000</v>
      </c>
      <c r="E18" s="22">
        <f t="shared" si="0"/>
        <v>-872000</v>
      </c>
      <c r="F18" s="306">
        <f t="shared" si="1"/>
        <v>-7.633053221288516E-2</v>
      </c>
    </row>
    <row r="19" spans="1:11" ht="24" customHeight="1" x14ac:dyDescent="0.2">
      <c r="A19" s="304">
        <v>7</v>
      </c>
      <c r="B19" s="305" t="s">
        <v>22</v>
      </c>
      <c r="C19" s="22">
        <v>3618000</v>
      </c>
      <c r="D19" s="22">
        <v>4271000</v>
      </c>
      <c r="E19" s="22">
        <f t="shared" si="0"/>
        <v>653000</v>
      </c>
      <c r="F19" s="306">
        <f t="shared" si="1"/>
        <v>0.1804864566058596</v>
      </c>
    </row>
    <row r="20" spans="1:11" ht="24" customHeight="1" x14ac:dyDescent="0.2">
      <c r="A20" s="304">
        <v>8</v>
      </c>
      <c r="B20" s="305" t="s">
        <v>23</v>
      </c>
      <c r="C20" s="22">
        <v>4454000</v>
      </c>
      <c r="D20" s="22">
        <v>8554000</v>
      </c>
      <c r="E20" s="22">
        <f t="shared" si="0"/>
        <v>4100000</v>
      </c>
      <c r="F20" s="306">
        <f t="shared" si="1"/>
        <v>0.92052088010776834</v>
      </c>
    </row>
    <row r="21" spans="1:11" ht="24" customHeight="1" x14ac:dyDescent="0.2">
      <c r="A21" s="304">
        <v>9</v>
      </c>
      <c r="B21" s="305" t="s">
        <v>24</v>
      </c>
      <c r="C21" s="22">
        <v>10506000</v>
      </c>
      <c r="D21" s="22">
        <v>4930000</v>
      </c>
      <c r="E21" s="22">
        <f t="shared" si="0"/>
        <v>-5576000</v>
      </c>
      <c r="F21" s="306">
        <f t="shared" si="1"/>
        <v>-0.53074433656957931</v>
      </c>
    </row>
    <row r="22" spans="1:11" ht="24" customHeight="1" x14ac:dyDescent="0.25">
      <c r="A22" s="307"/>
      <c r="B22" s="308" t="s">
        <v>25</v>
      </c>
      <c r="C22" s="309">
        <f>SUM(C13:C21)</f>
        <v>158647000</v>
      </c>
      <c r="D22" s="309">
        <f>SUM(D13:D21)</f>
        <v>174682000</v>
      </c>
      <c r="E22" s="309">
        <f t="shared" si="0"/>
        <v>16035000</v>
      </c>
      <c r="F22" s="310">
        <f t="shared" si="1"/>
        <v>0.10107345238170277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0</v>
      </c>
      <c r="D29" s="309">
        <f>SUM(D25:D28)</f>
        <v>0</v>
      </c>
      <c r="E29" s="309">
        <f>D29-C29</f>
        <v>0</v>
      </c>
      <c r="F29" s="310">
        <f>IF(C29=0,0,E29/C29)</f>
        <v>0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47464000</v>
      </c>
      <c r="D32" s="22">
        <v>53099000</v>
      </c>
      <c r="E32" s="22">
        <f>D32-C32</f>
        <v>5635000</v>
      </c>
      <c r="F32" s="306">
        <f>IF(C32=0,0,E32/C32)</f>
        <v>0.11872155739086465</v>
      </c>
    </row>
    <row r="33" spans="1:8" ht="24" customHeight="1" x14ac:dyDescent="0.2">
      <c r="A33" s="304">
        <v>7</v>
      </c>
      <c r="B33" s="305" t="s">
        <v>35</v>
      </c>
      <c r="C33" s="22">
        <v>57407000</v>
      </c>
      <c r="D33" s="22">
        <v>71269000</v>
      </c>
      <c r="E33" s="22">
        <f>D33-C33</f>
        <v>13862000</v>
      </c>
      <c r="F33" s="306">
        <f>IF(C33=0,0,E33/C33)</f>
        <v>0.2414688104238159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395981000</v>
      </c>
      <c r="D36" s="22">
        <v>410120000</v>
      </c>
      <c r="E36" s="22">
        <f>D36-C36</f>
        <v>14139000</v>
      </c>
      <c r="F36" s="306">
        <f>IF(C36=0,0,E36/C36)</f>
        <v>3.5706258633621313E-2</v>
      </c>
    </row>
    <row r="37" spans="1:8" ht="24" customHeight="1" x14ac:dyDescent="0.2">
      <c r="A37" s="304">
        <v>2</v>
      </c>
      <c r="B37" s="305" t="s">
        <v>39</v>
      </c>
      <c r="C37" s="22">
        <v>284026000</v>
      </c>
      <c r="D37" s="22">
        <v>285773000</v>
      </c>
      <c r="E37" s="22">
        <f>D37-C37</f>
        <v>1747000</v>
      </c>
      <c r="F37" s="22">
        <f>IF(C37=0,0,E37/C37)</f>
        <v>6.1508453451444584E-3</v>
      </c>
    </row>
    <row r="38" spans="1:8" ht="24" customHeight="1" x14ac:dyDescent="0.25">
      <c r="A38" s="307"/>
      <c r="B38" s="308" t="s">
        <v>40</v>
      </c>
      <c r="C38" s="309">
        <f>C36-C37</f>
        <v>111955000</v>
      </c>
      <c r="D38" s="309">
        <f>D36-D37</f>
        <v>124347000</v>
      </c>
      <c r="E38" s="309">
        <f>D38-C38</f>
        <v>12392000</v>
      </c>
      <c r="F38" s="310">
        <f>IF(C38=0,0,E38/C38)</f>
        <v>0.11068732973069537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17163000</v>
      </c>
      <c r="D40" s="22">
        <v>19477000</v>
      </c>
      <c r="E40" s="22">
        <f>D40-C40</f>
        <v>2314000</v>
      </c>
      <c r="F40" s="306">
        <f>IF(C40=0,0,E40/C40)</f>
        <v>0.13482491405931363</v>
      </c>
    </row>
    <row r="41" spans="1:8" ht="24" customHeight="1" x14ac:dyDescent="0.25">
      <c r="A41" s="307"/>
      <c r="B41" s="308" t="s">
        <v>42</v>
      </c>
      <c r="C41" s="309">
        <f>+C38+C40</f>
        <v>129118000</v>
      </c>
      <c r="D41" s="309">
        <f>+D38+D40</f>
        <v>143824000</v>
      </c>
      <c r="E41" s="309">
        <f>D41-C41</f>
        <v>14706000</v>
      </c>
      <c r="F41" s="310">
        <f>IF(C41=0,0,E41/C41)</f>
        <v>0.11389581623011509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392636000</v>
      </c>
      <c r="D43" s="309">
        <f>D22+D29+D31+D32+D33+D41</f>
        <v>442874000</v>
      </c>
      <c r="E43" s="309">
        <f>D43-C43</f>
        <v>50238000</v>
      </c>
      <c r="F43" s="310">
        <f>IF(C43=0,0,E43/C43)</f>
        <v>0.12795056999358184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10208000</v>
      </c>
      <c r="D49" s="22">
        <v>16363000</v>
      </c>
      <c r="E49" s="22">
        <f t="shared" ref="E49:E56" si="2">D49-C49</f>
        <v>6155000</v>
      </c>
      <c r="F49" s="306">
        <f t="shared" ref="F49:F56" si="3">IF(C49=0,0,E49/C49)</f>
        <v>0.60295846394984332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47324000</v>
      </c>
      <c r="D50" s="22">
        <v>47877000</v>
      </c>
      <c r="E50" s="22">
        <f t="shared" si="2"/>
        <v>553000</v>
      </c>
      <c r="F50" s="306">
        <f t="shared" si="3"/>
        <v>1.1685402755472911E-2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11424000</v>
      </c>
      <c r="D51" s="22">
        <v>10552000</v>
      </c>
      <c r="E51" s="22">
        <f t="shared" si="2"/>
        <v>-872000</v>
      </c>
      <c r="F51" s="306">
        <f t="shared" si="3"/>
        <v>-7.633053221288516E-2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3809000</v>
      </c>
      <c r="D53" s="22">
        <v>32205000</v>
      </c>
      <c r="E53" s="22">
        <f t="shared" si="2"/>
        <v>28396000</v>
      </c>
      <c r="F53" s="306">
        <f t="shared" si="3"/>
        <v>7.4549750590706223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6775000</v>
      </c>
      <c r="D55" s="22">
        <v>5306000</v>
      </c>
      <c r="E55" s="22">
        <f t="shared" si="2"/>
        <v>-1469000</v>
      </c>
      <c r="F55" s="306">
        <f t="shared" si="3"/>
        <v>-0.21682656826568267</v>
      </c>
    </row>
    <row r="56" spans="1:6" ht="24" customHeight="1" x14ac:dyDescent="0.25">
      <c r="A56" s="307"/>
      <c r="B56" s="308" t="s">
        <v>54</v>
      </c>
      <c r="C56" s="309">
        <f>SUM(C49:C55)</f>
        <v>79540000</v>
      </c>
      <c r="D56" s="309">
        <f>SUM(D49:D55)</f>
        <v>112303000</v>
      </c>
      <c r="E56" s="309">
        <f t="shared" si="2"/>
        <v>32763000</v>
      </c>
      <c r="F56" s="310">
        <f t="shared" si="3"/>
        <v>0.41190595926577822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47436000</v>
      </c>
      <c r="D59" s="22">
        <v>49202000</v>
      </c>
      <c r="E59" s="22">
        <f>D59-C59</f>
        <v>1766000</v>
      </c>
      <c r="F59" s="306">
        <f>IF(C59=0,0,E59/C59)</f>
        <v>3.7229108693819041E-2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47436000</v>
      </c>
      <c r="D61" s="309">
        <f>SUM(D59:D60)</f>
        <v>49202000</v>
      </c>
      <c r="E61" s="309">
        <f>D61-C61</f>
        <v>1766000</v>
      </c>
      <c r="F61" s="310">
        <f>IF(C61=0,0,E61/C61)</f>
        <v>3.7229108693819041E-2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67041000</v>
      </c>
      <c r="D63" s="22">
        <v>42945000</v>
      </c>
      <c r="E63" s="22">
        <f>D63-C63</f>
        <v>-24096000</v>
      </c>
      <c r="F63" s="306">
        <f>IF(C63=0,0,E63/C63)</f>
        <v>-0.35942184633284108</v>
      </c>
    </row>
    <row r="64" spans="1:6" ht="24" customHeight="1" x14ac:dyDescent="0.2">
      <c r="A64" s="304">
        <v>4</v>
      </c>
      <c r="B64" s="305" t="s">
        <v>60</v>
      </c>
      <c r="C64" s="22">
        <v>77887000</v>
      </c>
      <c r="D64" s="22">
        <v>65313000</v>
      </c>
      <c r="E64" s="22">
        <f>D64-C64</f>
        <v>-12574000</v>
      </c>
      <c r="F64" s="306">
        <f>IF(C64=0,0,E64/C64)</f>
        <v>-0.16143900779334164</v>
      </c>
    </row>
    <row r="65" spans="1:6" ht="24" customHeight="1" x14ac:dyDescent="0.25">
      <c r="A65" s="307"/>
      <c r="B65" s="308" t="s">
        <v>61</v>
      </c>
      <c r="C65" s="309">
        <f>SUM(C61:C64)</f>
        <v>192364000</v>
      </c>
      <c r="D65" s="309">
        <f>SUM(D61:D64)</f>
        <v>157460000</v>
      </c>
      <c r="E65" s="309">
        <f>D65-C65</f>
        <v>-34904000</v>
      </c>
      <c r="F65" s="310">
        <f>IF(C65=0,0,E65/C65)</f>
        <v>-0.18144767212160279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72028000</v>
      </c>
      <c r="D70" s="22">
        <v>120290000</v>
      </c>
      <c r="E70" s="22">
        <f>D70-C70</f>
        <v>48262000</v>
      </c>
      <c r="F70" s="306">
        <f>IF(C70=0,0,E70/C70)</f>
        <v>0.67004498250680289</v>
      </c>
    </row>
    <row r="71" spans="1:6" ht="24" customHeight="1" x14ac:dyDescent="0.2">
      <c r="A71" s="304">
        <v>2</v>
      </c>
      <c r="B71" s="305" t="s">
        <v>65</v>
      </c>
      <c r="C71" s="22">
        <v>28832000</v>
      </c>
      <c r="D71" s="22">
        <v>32033000</v>
      </c>
      <c r="E71" s="22">
        <f>D71-C71</f>
        <v>3201000</v>
      </c>
      <c r="F71" s="306">
        <f>IF(C71=0,0,E71/C71)</f>
        <v>0.11102247502774695</v>
      </c>
    </row>
    <row r="72" spans="1:6" ht="24" customHeight="1" x14ac:dyDescent="0.2">
      <c r="A72" s="304">
        <v>3</v>
      </c>
      <c r="B72" s="305" t="s">
        <v>66</v>
      </c>
      <c r="C72" s="22">
        <v>19872000</v>
      </c>
      <c r="D72" s="22">
        <v>20788000</v>
      </c>
      <c r="E72" s="22">
        <f>D72-C72</f>
        <v>916000</v>
      </c>
      <c r="F72" s="306">
        <f>IF(C72=0,0,E72/C72)</f>
        <v>4.6095008051529787E-2</v>
      </c>
    </row>
    <row r="73" spans="1:6" ht="24" customHeight="1" x14ac:dyDescent="0.25">
      <c r="A73" s="304"/>
      <c r="B73" s="308" t="s">
        <v>67</v>
      </c>
      <c r="C73" s="309">
        <f>SUM(C70:C72)</f>
        <v>120732000</v>
      </c>
      <c r="D73" s="309">
        <f>SUM(D70:D72)</f>
        <v>173111000</v>
      </c>
      <c r="E73" s="309">
        <f>D73-C73</f>
        <v>52379000</v>
      </c>
      <c r="F73" s="310">
        <f>IF(C73=0,0,E73/C73)</f>
        <v>0.43384521088029687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392636000</v>
      </c>
      <c r="D75" s="309">
        <f>D56+D65+D67+D73</f>
        <v>442874000</v>
      </c>
      <c r="E75" s="309">
        <f>D75-C75</f>
        <v>50238000</v>
      </c>
      <c r="F75" s="310">
        <f>IF(C75=0,0,E75/C75)</f>
        <v>0.12795056999358184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1390798000</v>
      </c>
      <c r="D11" s="76">
        <v>1512520000</v>
      </c>
      <c r="E11" s="76">
        <f t="shared" ref="E11:E20" si="0">D11-C11</f>
        <v>121722000</v>
      </c>
      <c r="F11" s="77">
        <f t="shared" ref="F11:F20" si="1">IF(C11=0,0,E11/C11)</f>
        <v>8.7519539142276587E-2</v>
      </c>
    </row>
    <row r="12" spans="1:7" ht="23.1" customHeight="1" x14ac:dyDescent="0.2">
      <c r="A12" s="74">
        <v>2</v>
      </c>
      <c r="B12" s="75" t="s">
        <v>72</v>
      </c>
      <c r="C12" s="76">
        <v>932613000</v>
      </c>
      <c r="D12" s="76">
        <v>1032289000</v>
      </c>
      <c r="E12" s="76">
        <f t="shared" si="0"/>
        <v>99676000</v>
      </c>
      <c r="F12" s="77">
        <f t="shared" si="1"/>
        <v>0.10687820135468838</v>
      </c>
    </row>
    <row r="13" spans="1:7" ht="23.1" customHeight="1" x14ac:dyDescent="0.2">
      <c r="A13" s="74">
        <v>3</v>
      </c>
      <c r="B13" s="75" t="s">
        <v>73</v>
      </c>
      <c r="C13" s="76">
        <v>28181000</v>
      </c>
      <c r="D13" s="76">
        <v>37167000</v>
      </c>
      <c r="E13" s="76">
        <f t="shared" si="0"/>
        <v>8986000</v>
      </c>
      <c r="F13" s="77">
        <f t="shared" si="1"/>
        <v>0.31886732195450834</v>
      </c>
    </row>
    <row r="14" spans="1:7" ht="23.1" customHeight="1" x14ac:dyDescent="0.2">
      <c r="A14" s="74">
        <v>4</v>
      </c>
      <c r="B14" s="75" t="s">
        <v>74</v>
      </c>
      <c r="C14" s="76">
        <v>9388000</v>
      </c>
      <c r="D14" s="76">
        <v>9253000</v>
      </c>
      <c r="E14" s="76">
        <f t="shared" si="0"/>
        <v>-135000</v>
      </c>
      <c r="F14" s="77">
        <f t="shared" si="1"/>
        <v>-1.438005965061781E-2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420616000</v>
      </c>
      <c r="D15" s="79">
        <f>D11-D12-D13-D14</f>
        <v>433811000</v>
      </c>
      <c r="E15" s="79">
        <f t="shared" si="0"/>
        <v>13195000</v>
      </c>
      <c r="F15" s="80">
        <f t="shared" si="1"/>
        <v>3.137065637065637E-2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14984000</v>
      </c>
      <c r="E16" s="76">
        <f t="shared" si="0"/>
        <v>14984000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420616000</v>
      </c>
      <c r="D17" s="79">
        <f>D15-D16</f>
        <v>418827000</v>
      </c>
      <c r="E17" s="79">
        <f t="shared" si="0"/>
        <v>-1789000</v>
      </c>
      <c r="F17" s="80">
        <f t="shared" si="1"/>
        <v>-4.2532856572265439E-3</v>
      </c>
    </row>
    <row r="18" spans="1:7" ht="23.1" customHeight="1" x14ac:dyDescent="0.2">
      <c r="A18" s="74">
        <v>6</v>
      </c>
      <c r="B18" s="75" t="s">
        <v>78</v>
      </c>
      <c r="C18" s="76">
        <v>14075000</v>
      </c>
      <c r="D18" s="76">
        <v>22926000</v>
      </c>
      <c r="E18" s="76">
        <f t="shared" si="0"/>
        <v>8851000</v>
      </c>
      <c r="F18" s="77">
        <f t="shared" si="1"/>
        <v>0.62884547069271757</v>
      </c>
      <c r="G18" s="65"/>
    </row>
    <row r="19" spans="1:7" ht="33" customHeight="1" x14ac:dyDescent="0.2">
      <c r="A19" s="74">
        <v>7</v>
      </c>
      <c r="B19" s="82" t="s">
        <v>79</v>
      </c>
      <c r="C19" s="76">
        <v>4975000</v>
      </c>
      <c r="D19" s="76">
        <v>3282000</v>
      </c>
      <c r="E19" s="76">
        <f t="shared" si="0"/>
        <v>-1693000</v>
      </c>
      <c r="F19" s="77">
        <f t="shared" si="1"/>
        <v>-0.34030150753768845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439666000</v>
      </c>
      <c r="D20" s="79">
        <f>SUM(D17:D19)</f>
        <v>445035000</v>
      </c>
      <c r="E20" s="79">
        <f t="shared" si="0"/>
        <v>5369000</v>
      </c>
      <c r="F20" s="80">
        <f t="shared" si="1"/>
        <v>1.2211542398093097E-2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144024000</v>
      </c>
      <c r="D23" s="76">
        <v>147763000</v>
      </c>
      <c r="E23" s="76">
        <f t="shared" ref="E23:E32" si="2">D23-C23</f>
        <v>3739000</v>
      </c>
      <c r="F23" s="77">
        <f t="shared" ref="F23:F32" si="3">IF(C23=0,0,E23/C23)</f>
        <v>2.5960950952619008E-2</v>
      </c>
    </row>
    <row r="24" spans="1:7" ht="23.1" customHeight="1" x14ac:dyDescent="0.2">
      <c r="A24" s="74">
        <v>2</v>
      </c>
      <c r="B24" s="75" t="s">
        <v>83</v>
      </c>
      <c r="C24" s="76">
        <v>47544000</v>
      </c>
      <c r="D24" s="76">
        <v>48230000</v>
      </c>
      <c r="E24" s="76">
        <f t="shared" si="2"/>
        <v>686000</v>
      </c>
      <c r="F24" s="77">
        <f t="shared" si="3"/>
        <v>1.4428739693757362E-2</v>
      </c>
    </row>
    <row r="25" spans="1:7" ht="23.1" customHeight="1" x14ac:dyDescent="0.2">
      <c r="A25" s="74">
        <v>3</v>
      </c>
      <c r="B25" s="75" t="s">
        <v>84</v>
      </c>
      <c r="C25" s="76">
        <v>23346000</v>
      </c>
      <c r="D25" s="76">
        <v>22467000</v>
      </c>
      <c r="E25" s="76">
        <f t="shared" si="2"/>
        <v>-879000</v>
      </c>
      <c r="F25" s="77">
        <f t="shared" si="3"/>
        <v>-3.7650989462863015E-2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47265000</v>
      </c>
      <c r="D26" s="76">
        <v>47722000</v>
      </c>
      <c r="E26" s="76">
        <f t="shared" si="2"/>
        <v>457000</v>
      </c>
      <c r="F26" s="77">
        <f t="shared" si="3"/>
        <v>9.6688881836454032E-3</v>
      </c>
    </row>
    <row r="27" spans="1:7" ht="23.1" customHeight="1" x14ac:dyDescent="0.2">
      <c r="A27" s="74">
        <v>5</v>
      </c>
      <c r="B27" s="75" t="s">
        <v>86</v>
      </c>
      <c r="C27" s="76">
        <v>20233000</v>
      </c>
      <c r="D27" s="76">
        <v>22858000</v>
      </c>
      <c r="E27" s="76">
        <f t="shared" si="2"/>
        <v>2625000</v>
      </c>
      <c r="F27" s="77">
        <f t="shared" si="3"/>
        <v>0.1297385459398013</v>
      </c>
    </row>
    <row r="28" spans="1:7" ht="23.1" customHeight="1" x14ac:dyDescent="0.2">
      <c r="A28" s="74">
        <v>6</v>
      </c>
      <c r="B28" s="75" t="s">
        <v>87</v>
      </c>
      <c r="C28" s="76">
        <v>16623000</v>
      </c>
      <c r="D28" s="76">
        <v>0</v>
      </c>
      <c r="E28" s="76">
        <f t="shared" si="2"/>
        <v>-16623000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2724000</v>
      </c>
      <c r="D29" s="76">
        <v>1665000</v>
      </c>
      <c r="E29" s="76">
        <f t="shared" si="2"/>
        <v>-1059000</v>
      </c>
      <c r="F29" s="77">
        <f t="shared" si="3"/>
        <v>-0.38876651982378857</v>
      </c>
    </row>
    <row r="30" spans="1:7" ht="23.1" customHeight="1" x14ac:dyDescent="0.2">
      <c r="A30" s="74">
        <v>8</v>
      </c>
      <c r="B30" s="75" t="s">
        <v>89</v>
      </c>
      <c r="C30" s="76">
        <v>2179000</v>
      </c>
      <c r="D30" s="76">
        <v>292000</v>
      </c>
      <c r="E30" s="76">
        <f t="shared" si="2"/>
        <v>-1887000</v>
      </c>
      <c r="F30" s="77">
        <f t="shared" si="3"/>
        <v>-0.86599357503441943</v>
      </c>
    </row>
    <row r="31" spans="1:7" ht="23.1" customHeight="1" x14ac:dyDescent="0.2">
      <c r="A31" s="74">
        <v>9</v>
      </c>
      <c r="B31" s="75" t="s">
        <v>90</v>
      </c>
      <c r="C31" s="76">
        <v>116360000</v>
      </c>
      <c r="D31" s="76">
        <v>134778000</v>
      </c>
      <c r="E31" s="76">
        <f t="shared" si="2"/>
        <v>18418000</v>
      </c>
      <c r="F31" s="77">
        <f t="shared" si="3"/>
        <v>0.15828463389480921</v>
      </c>
    </row>
    <row r="32" spans="1:7" ht="23.1" customHeight="1" x14ac:dyDescent="0.25">
      <c r="A32" s="71"/>
      <c r="B32" s="78" t="s">
        <v>91</v>
      </c>
      <c r="C32" s="79">
        <f>SUM(C23:C31)</f>
        <v>420298000</v>
      </c>
      <c r="D32" s="79">
        <f>SUM(D23:D31)</f>
        <v>425775000</v>
      </c>
      <c r="E32" s="79">
        <f t="shared" si="2"/>
        <v>5477000</v>
      </c>
      <c r="F32" s="80">
        <f t="shared" si="3"/>
        <v>1.3031230222366035E-2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19368000</v>
      </c>
      <c r="D34" s="79">
        <f>+D20-D32</f>
        <v>19260000</v>
      </c>
      <c r="E34" s="79">
        <f>D34-C34</f>
        <v>-108000</v>
      </c>
      <c r="F34" s="80">
        <f>IF(C34=0,0,E34/C34)</f>
        <v>-5.5762081784386614E-3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0</v>
      </c>
      <c r="D37" s="76">
        <v>0</v>
      </c>
      <c r="E37" s="76">
        <f>D37-C37</f>
        <v>0</v>
      </c>
      <c r="F37" s="77">
        <f>IF(C37=0,0,E37/C37)</f>
        <v>0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829000</v>
      </c>
      <c r="D39" s="76">
        <v>2934000</v>
      </c>
      <c r="E39" s="76">
        <f>D39-C39</f>
        <v>2105000</v>
      </c>
      <c r="F39" s="77">
        <f>IF(C39=0,0,E39/C39)</f>
        <v>2.5392038600723765</v>
      </c>
    </row>
    <row r="40" spans="1:6" ht="23.1" customHeight="1" x14ac:dyDescent="0.25">
      <c r="A40" s="83"/>
      <c r="B40" s="78" t="s">
        <v>97</v>
      </c>
      <c r="C40" s="79">
        <f>SUM(C37:C39)</f>
        <v>829000</v>
      </c>
      <c r="D40" s="79">
        <f>SUM(D37:D39)</f>
        <v>2934000</v>
      </c>
      <c r="E40" s="79">
        <f>D40-C40</f>
        <v>2105000</v>
      </c>
      <c r="F40" s="80">
        <f>IF(C40=0,0,E40/C40)</f>
        <v>2.5392038600723765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20197000</v>
      </c>
      <c r="D42" s="79">
        <f>D34+D40</f>
        <v>22194000</v>
      </c>
      <c r="E42" s="79">
        <f>D42-C42</f>
        <v>1997000</v>
      </c>
      <c r="F42" s="80">
        <f>IF(C42=0,0,E42/C42)</f>
        <v>9.8876070703569838E-2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1335000</v>
      </c>
      <c r="D45" s="76">
        <v>1035000</v>
      </c>
      <c r="E45" s="76">
        <f>D45-C45</f>
        <v>-300000</v>
      </c>
      <c r="F45" s="77">
        <f>IF(C45=0,0,E45/C45)</f>
        <v>-0.2247191011235955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1335000</v>
      </c>
      <c r="D47" s="79">
        <f>SUM(D45:D46)</f>
        <v>1035000</v>
      </c>
      <c r="E47" s="79">
        <f>D47-C47</f>
        <v>-300000</v>
      </c>
      <c r="F47" s="80">
        <f>IF(C47=0,0,E47/C47)</f>
        <v>-0.2247191011235955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21532000</v>
      </c>
      <c r="D49" s="79">
        <f>D42+D47</f>
        <v>23229000</v>
      </c>
      <c r="E49" s="79">
        <f>D49-C49</f>
        <v>1697000</v>
      </c>
      <c r="F49" s="80">
        <f>IF(C49=0,0,E49/C49)</f>
        <v>7.8812929593163661E-2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2014-10-06T19:38:43Z</cp:lastPrinted>
  <dcterms:created xsi:type="dcterms:W3CDTF">2014-10-06T18:03:13Z</dcterms:created>
  <dcterms:modified xsi:type="dcterms:W3CDTF">2014-10-09T16:40:52Z</dcterms:modified>
</cp:coreProperties>
</file>