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80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8" i="14"/>
  <c r="D47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E22" i="19"/>
  <c r="E110" i="19"/>
  <c r="E21" i="19"/>
  <c r="D21" i="19"/>
  <c r="C21" i="19"/>
  <c r="E12" i="19"/>
  <c r="E33" i="19"/>
  <c r="D12" i="19"/>
  <c r="D33" i="19"/>
  <c r="C12" i="19"/>
  <c r="C34" i="19"/>
  <c r="C22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D41" i="17"/>
  <c r="C25" i="17"/>
  <c r="C39" i="17"/>
  <c r="F24" i="17"/>
  <c r="E24" i="17"/>
  <c r="F23" i="17"/>
  <c r="E23" i="17"/>
  <c r="F22" i="17"/>
  <c r="E22" i="17"/>
  <c r="E25" i="17"/>
  <c r="F25" i="17"/>
  <c r="D19" i="17"/>
  <c r="D20" i="17"/>
  <c r="C19" i="17"/>
  <c r="C20" i="17"/>
  <c r="F18" i="17"/>
  <c r="E18" i="17"/>
  <c r="D16" i="17"/>
  <c r="E16" i="17"/>
  <c r="F16" i="17"/>
  <c r="C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C303" i="15"/>
  <c r="C306" i="15"/>
  <c r="C310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43" i="15"/>
  <c r="D233" i="15"/>
  <c r="C233" i="15"/>
  <c r="D232" i="15"/>
  <c r="C232" i="15"/>
  <c r="E232" i="15"/>
  <c r="D231" i="15"/>
  <c r="D252" i="15"/>
  <c r="C231" i="15"/>
  <c r="D230" i="15"/>
  <c r="E230" i="15"/>
  <c r="C230" i="15"/>
  <c r="D228" i="15"/>
  <c r="C228" i="15"/>
  <c r="D227" i="15"/>
  <c r="E227" i="15"/>
  <c r="C227" i="15"/>
  <c r="D221" i="15"/>
  <c r="E221" i="15"/>
  <c r="C221" i="15"/>
  <c r="C245" i="15"/>
  <c r="D220" i="15"/>
  <c r="C220" i="15"/>
  <c r="C244" i="15"/>
  <c r="D219" i="15"/>
  <c r="C219" i="15"/>
  <c r="C243" i="15"/>
  <c r="D218" i="15"/>
  <c r="C218" i="15"/>
  <c r="C242" i="15"/>
  <c r="C217" i="15"/>
  <c r="D216" i="15"/>
  <c r="D222" i="15"/>
  <c r="C216" i="15"/>
  <c r="C240" i="15"/>
  <c r="D215" i="15"/>
  <c r="D239" i="15"/>
  <c r="C215" i="15"/>
  <c r="C239" i="15"/>
  <c r="E209" i="15"/>
  <c r="E208" i="15"/>
  <c r="E207" i="15"/>
  <c r="E206" i="15"/>
  <c r="D205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E179" i="15"/>
  <c r="C179" i="15"/>
  <c r="D178" i="15"/>
  <c r="C178" i="15"/>
  <c r="D177" i="15"/>
  <c r="E177" i="15"/>
  <c r="C177" i="15"/>
  <c r="D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D156" i="15"/>
  <c r="C151" i="15"/>
  <c r="E151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D21" i="15"/>
  <c r="D283" i="15"/>
  <c r="C21" i="15"/>
  <c r="E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E308" i="14"/>
  <c r="F308" i="14"/>
  <c r="E307" i="14"/>
  <c r="C307" i="14"/>
  <c r="C299" i="14"/>
  <c r="E299" i="14"/>
  <c r="C298" i="14"/>
  <c r="E298" i="14"/>
  <c r="C297" i="14"/>
  <c r="E297" i="14"/>
  <c r="C296" i="14"/>
  <c r="E296" i="14"/>
  <c r="C295" i="14"/>
  <c r="E295" i="14"/>
  <c r="C294" i="14"/>
  <c r="E294" i="14"/>
  <c r="F294" i="14"/>
  <c r="C278" i="14"/>
  <c r="C250" i="14"/>
  <c r="E249" i="14"/>
  <c r="F249" i="14"/>
  <c r="F248" i="14"/>
  <c r="E248" i="14"/>
  <c r="F245" i="14"/>
  <c r="E245" i="14"/>
  <c r="F244" i="14"/>
  <c r="E244" i="14"/>
  <c r="E243" i="14"/>
  <c r="F243" i="14"/>
  <c r="C238" i="14"/>
  <c r="E238" i="14"/>
  <c r="C237" i="14"/>
  <c r="C239" i="14"/>
  <c r="E234" i="14"/>
  <c r="F234" i="14"/>
  <c r="E233" i="14"/>
  <c r="F233" i="14"/>
  <c r="C230" i="14"/>
  <c r="E230" i="14"/>
  <c r="C229" i="14"/>
  <c r="E229" i="14"/>
  <c r="F229" i="14"/>
  <c r="E228" i="14"/>
  <c r="F228" i="14"/>
  <c r="C226" i="14"/>
  <c r="E226" i="14"/>
  <c r="F226" i="14"/>
  <c r="E225" i="14"/>
  <c r="F225" i="14"/>
  <c r="E224" i="14"/>
  <c r="F224" i="14"/>
  <c r="C223" i="14"/>
  <c r="E223" i="14"/>
  <c r="F223" i="14"/>
  <c r="F222" i="14"/>
  <c r="E222" i="14"/>
  <c r="F221" i="14"/>
  <c r="E221" i="14"/>
  <c r="C205" i="14"/>
  <c r="C204" i="14"/>
  <c r="C255" i="14"/>
  <c r="C203" i="14"/>
  <c r="C283" i="14"/>
  <c r="E283" i="14"/>
  <c r="C267" i="14"/>
  <c r="C198" i="14"/>
  <c r="E198" i="14"/>
  <c r="C191" i="14"/>
  <c r="C264" i="14"/>
  <c r="C189" i="14"/>
  <c r="C262" i="14"/>
  <c r="C188" i="14"/>
  <c r="C277" i="14"/>
  <c r="E180" i="14"/>
  <c r="C180" i="14"/>
  <c r="F180" i="14"/>
  <c r="C179" i="14"/>
  <c r="C181" i="14"/>
  <c r="F181" i="14"/>
  <c r="C171" i="14"/>
  <c r="F171" i="14"/>
  <c r="C170" i="14"/>
  <c r="F170" i="14"/>
  <c r="F169" i="14"/>
  <c r="E169" i="14"/>
  <c r="F168" i="14"/>
  <c r="E168" i="14"/>
  <c r="E165" i="14"/>
  <c r="C165" i="14"/>
  <c r="F165" i="14"/>
  <c r="E164" i="14"/>
  <c r="C164" i="14"/>
  <c r="F164" i="14"/>
  <c r="F163" i="14"/>
  <c r="E163" i="14"/>
  <c r="C158" i="14"/>
  <c r="F158" i="14"/>
  <c r="F157" i="14"/>
  <c r="E157" i="14"/>
  <c r="F156" i="14"/>
  <c r="E156" i="14"/>
  <c r="C155" i="14"/>
  <c r="E155" i="14"/>
  <c r="F154" i="14"/>
  <c r="E154" i="14"/>
  <c r="F153" i="14"/>
  <c r="E153" i="14"/>
  <c r="C145" i="14"/>
  <c r="C144" i="14"/>
  <c r="E144" i="14"/>
  <c r="E136" i="14"/>
  <c r="C136" i="14"/>
  <c r="C137" i="14"/>
  <c r="C138" i="14"/>
  <c r="C135" i="14"/>
  <c r="E135" i="14"/>
  <c r="E134" i="14"/>
  <c r="F134" i="14"/>
  <c r="E133" i="14"/>
  <c r="F133" i="14"/>
  <c r="C130" i="14"/>
  <c r="E130" i="14"/>
  <c r="C129" i="14"/>
  <c r="E129" i="14"/>
  <c r="E128" i="14"/>
  <c r="F128" i="14"/>
  <c r="C123" i="14"/>
  <c r="C193" i="14"/>
  <c r="E122" i="14"/>
  <c r="F122" i="14"/>
  <c r="E121" i="14"/>
  <c r="F121" i="14"/>
  <c r="C120" i="14"/>
  <c r="E120" i="14"/>
  <c r="E119" i="14"/>
  <c r="F119" i="14"/>
  <c r="E118" i="14"/>
  <c r="F118" i="14"/>
  <c r="C110" i="14"/>
  <c r="E110" i="14"/>
  <c r="E109" i="14"/>
  <c r="C109" i="14"/>
  <c r="C111" i="14"/>
  <c r="C101" i="14"/>
  <c r="E101" i="14"/>
  <c r="C100" i="14"/>
  <c r="E100" i="14"/>
  <c r="E99" i="14"/>
  <c r="F99" i="14"/>
  <c r="E98" i="14"/>
  <c r="F98" i="14"/>
  <c r="C95" i="14"/>
  <c r="E95" i="14"/>
  <c r="C94" i="14"/>
  <c r="E93" i="14"/>
  <c r="F93" i="14"/>
  <c r="C89" i="14"/>
  <c r="E89" i="14"/>
  <c r="E88" i="14"/>
  <c r="C88" i="14"/>
  <c r="F88" i="14"/>
  <c r="E87" i="14"/>
  <c r="F87" i="14"/>
  <c r="E86" i="14"/>
  <c r="F86" i="14"/>
  <c r="C85" i="14"/>
  <c r="E84" i="14"/>
  <c r="F84" i="14"/>
  <c r="E83" i="14"/>
  <c r="F83" i="14"/>
  <c r="C77" i="14"/>
  <c r="E77" i="14"/>
  <c r="E76" i="14"/>
  <c r="C76" i="14"/>
  <c r="F76" i="14"/>
  <c r="E74" i="14"/>
  <c r="F74" i="14"/>
  <c r="E73" i="14"/>
  <c r="F73" i="14"/>
  <c r="C67" i="14"/>
  <c r="E67" i="14"/>
  <c r="C66" i="14"/>
  <c r="C59" i="14"/>
  <c r="F58" i="14"/>
  <c r="C58" i="14"/>
  <c r="E58" i="14"/>
  <c r="E57" i="14"/>
  <c r="F57" i="14"/>
  <c r="E56" i="14"/>
  <c r="F56" i="14"/>
  <c r="C53" i="14"/>
  <c r="E53" i="14"/>
  <c r="E52" i="14"/>
  <c r="C52" i="14"/>
  <c r="F51" i="14"/>
  <c r="E51" i="14"/>
  <c r="E47" i="14"/>
  <c r="C47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C35" i="14"/>
  <c r="E35" i="14"/>
  <c r="F35" i="14"/>
  <c r="C30" i="14"/>
  <c r="F29" i="14"/>
  <c r="C29" i="14"/>
  <c r="E29" i="14"/>
  <c r="F28" i="14"/>
  <c r="E28" i="14"/>
  <c r="F27" i="14"/>
  <c r="E27" i="14"/>
  <c r="C24" i="14"/>
  <c r="E24" i="14"/>
  <c r="C23" i="14"/>
  <c r="E23" i="14"/>
  <c r="E22" i="14"/>
  <c r="F22" i="14"/>
  <c r="C20" i="14"/>
  <c r="C21" i="14"/>
  <c r="F19" i="14"/>
  <c r="E19" i="14"/>
  <c r="F18" i="14"/>
  <c r="E18" i="14"/>
  <c r="C17" i="14"/>
  <c r="E17" i="14"/>
  <c r="F17" i="14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E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E83" i="12"/>
  <c r="F83" i="12"/>
  <c r="E82" i="12"/>
  <c r="F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E70" i="12"/>
  <c r="C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4" i="12"/>
  <c r="F54" i="12"/>
  <c r="E53" i="12"/>
  <c r="F53" i="12"/>
  <c r="D50" i="12"/>
  <c r="E50" i="12"/>
  <c r="C50" i="12"/>
  <c r="E49" i="12"/>
  <c r="F49" i="12"/>
  <c r="E48" i="12"/>
  <c r="F48" i="12"/>
  <c r="D45" i="12"/>
  <c r="C45" i="12"/>
  <c r="E45" i="12"/>
  <c r="E44" i="12"/>
  <c r="F44" i="12"/>
  <c r="E43" i="12"/>
  <c r="F43" i="12"/>
  <c r="D37" i="12"/>
  <c r="C37" i="12"/>
  <c r="F36" i="12"/>
  <c r="E36" i="12"/>
  <c r="F35" i="12"/>
  <c r="E35" i="12"/>
  <c r="E34" i="12"/>
  <c r="F34" i="12"/>
  <c r="F33" i="12"/>
  <c r="E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E21" i="12"/>
  <c r="F21" i="12"/>
  <c r="F20" i="12"/>
  <c r="E20" i="12"/>
  <c r="E19" i="12"/>
  <c r="F19" i="12"/>
  <c r="D16" i="12"/>
  <c r="E16" i="12"/>
  <c r="C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F17" i="11"/>
  <c r="F31" i="11"/>
  <c r="H31" i="11"/>
  <c r="E17" i="11"/>
  <c r="E31" i="11"/>
  <c r="D17" i="11"/>
  <c r="D33" i="11"/>
  <c r="D36" i="11"/>
  <c r="D38" i="11"/>
  <c r="D40" i="1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/>
  <c r="D55" i="10"/>
  <c r="D50" i="10"/>
  <c r="C55" i="10"/>
  <c r="E54" i="10"/>
  <c r="D54" i="10"/>
  <c r="C54" i="10"/>
  <c r="C50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E46" i="9"/>
  <c r="F45" i="9"/>
  <c r="E45" i="9"/>
  <c r="E44" i="9"/>
  <c r="F44" i="9"/>
  <c r="D39" i="9"/>
  <c r="C39" i="9"/>
  <c r="E39" i="9"/>
  <c r="E38" i="9"/>
  <c r="F38" i="9"/>
  <c r="F37" i="9"/>
  <c r="E37" i="9"/>
  <c r="F36" i="9"/>
  <c r="E36" i="9"/>
  <c r="D31" i="9"/>
  <c r="E31" i="9"/>
  <c r="C31" i="9"/>
  <c r="F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E15" i="9"/>
  <c r="F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E61" i="8"/>
  <c r="D65" i="8"/>
  <c r="C61" i="8"/>
  <c r="C65" i="8"/>
  <c r="F60" i="8"/>
  <c r="E60" i="8"/>
  <c r="E59" i="8"/>
  <c r="F59" i="8"/>
  <c r="D56" i="8"/>
  <c r="D75" i="8"/>
  <c r="C56" i="8"/>
  <c r="F55" i="8"/>
  <c r="E55" i="8"/>
  <c r="F54" i="8"/>
  <c r="E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E38" i="8"/>
  <c r="D38" i="8"/>
  <c r="D41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9" i="8"/>
  <c r="F28" i="8"/>
  <c r="E28" i="8"/>
  <c r="E27" i="8"/>
  <c r="F27" i="8"/>
  <c r="F26" i="8"/>
  <c r="E26" i="8"/>
  <c r="E25" i="8"/>
  <c r="F25" i="8"/>
  <c r="D22" i="8"/>
  <c r="D43" i="8"/>
  <c r="C22" i="8"/>
  <c r="E21" i="8"/>
  <c r="F21" i="8"/>
  <c r="E20" i="8"/>
  <c r="F20" i="8"/>
  <c r="E19" i="8"/>
  <c r="F19" i="8"/>
  <c r="E18" i="8"/>
  <c r="F18" i="8"/>
  <c r="F17" i="8"/>
  <c r="E17" i="8"/>
  <c r="F16" i="8"/>
  <c r="E16" i="8"/>
  <c r="E15" i="8"/>
  <c r="F15" i="8"/>
  <c r="E14" i="8"/>
  <c r="F14" i="8"/>
  <c r="E13" i="8"/>
  <c r="F13" i="8"/>
  <c r="D120" i="7"/>
  <c r="E120" i="7"/>
  <c r="C120" i="7"/>
  <c r="D119" i="7"/>
  <c r="C119" i="7"/>
  <c r="D118" i="7"/>
  <c r="C118" i="7"/>
  <c r="D117" i="7"/>
  <c r="E117" i="7"/>
  <c r="C117" i="7"/>
  <c r="D116" i="7"/>
  <c r="E116" i="7"/>
  <c r="C116" i="7"/>
  <c r="D115" i="7"/>
  <c r="C115" i="7"/>
  <c r="D114" i="7"/>
  <c r="C114" i="7"/>
  <c r="D113" i="7"/>
  <c r="E113" i="7"/>
  <c r="C113" i="7"/>
  <c r="C122" i="7"/>
  <c r="D112" i="7"/>
  <c r="D121" i="7"/>
  <c r="E121" i="7"/>
  <c r="C112" i="7"/>
  <c r="C121" i="7"/>
  <c r="D108" i="7"/>
  <c r="C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C95" i="7"/>
  <c r="E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D59" i="7"/>
  <c r="C59" i="7"/>
  <c r="E59" i="7"/>
  <c r="E58" i="7"/>
  <c r="F58" i="7"/>
  <c r="F57" i="7"/>
  <c r="E57" i="7"/>
  <c r="E56" i="7"/>
  <c r="F56" i="7"/>
  <c r="E55" i="7"/>
  <c r="F55" i="7"/>
  <c r="E54" i="7"/>
  <c r="F54" i="7"/>
  <c r="F53" i="7"/>
  <c r="E53" i="7"/>
  <c r="E52" i="7"/>
  <c r="F52" i="7"/>
  <c r="E51" i="7"/>
  <c r="F51" i="7"/>
  <c r="E50" i="7"/>
  <c r="F50" i="7"/>
  <c r="D48" i="7"/>
  <c r="C48" i="7"/>
  <c r="E48" i="7"/>
  <c r="F48" i="7"/>
  <c r="D47" i="7"/>
  <c r="C47" i="7"/>
  <c r="E47" i="7"/>
  <c r="F47" i="7"/>
  <c r="F46" i="7"/>
  <c r="E46" i="7"/>
  <c r="E45" i="7"/>
  <c r="F45" i="7"/>
  <c r="E44" i="7"/>
  <c r="F44" i="7"/>
  <c r="E43" i="7"/>
  <c r="F43" i="7"/>
  <c r="F42" i="7"/>
  <c r="E42" i="7"/>
  <c r="E41" i="7"/>
  <c r="F41" i="7"/>
  <c r="E40" i="7"/>
  <c r="F40" i="7"/>
  <c r="E39" i="7"/>
  <c r="F39" i="7"/>
  <c r="F38" i="7"/>
  <c r="E38" i="7"/>
  <c r="D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C205" i="6"/>
  <c r="E205" i="6"/>
  <c r="D204" i="6"/>
  <c r="E204" i="6"/>
  <c r="C204" i="6"/>
  <c r="D203" i="6"/>
  <c r="C203" i="6"/>
  <c r="D202" i="6"/>
  <c r="E202" i="6"/>
  <c r="C202" i="6"/>
  <c r="D201" i="6"/>
  <c r="E201" i="6"/>
  <c r="F201" i="6"/>
  <c r="C201" i="6"/>
  <c r="D200" i="6"/>
  <c r="E200" i="6"/>
  <c r="F200" i="6"/>
  <c r="C200" i="6"/>
  <c r="D199" i="6"/>
  <c r="E199" i="6"/>
  <c r="F199" i="6"/>
  <c r="C199" i="6"/>
  <c r="C208" i="6"/>
  <c r="D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D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D88" i="6"/>
  <c r="C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D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E49" i="6"/>
  <c r="C49" i="6"/>
  <c r="F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C37" i="6"/>
  <c r="F37" i="6"/>
  <c r="D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E109" i="5"/>
  <c r="E106" i="5"/>
  <c r="D108" i="5"/>
  <c r="C108" i="5"/>
  <c r="E107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C88" i="5"/>
  <c r="C90" i="5"/>
  <c r="C86" i="5"/>
  <c r="E87" i="5"/>
  <c r="D87" i="5"/>
  <c r="C87" i="5"/>
  <c r="E84" i="5"/>
  <c r="D84" i="5"/>
  <c r="D79" i="5"/>
  <c r="C84" i="5"/>
  <c r="C79" i="5"/>
  <c r="E83" i="5"/>
  <c r="E79" i="5"/>
  <c r="D83" i="5"/>
  <c r="C83" i="5"/>
  <c r="C77" i="5"/>
  <c r="C71" i="5"/>
  <c r="E75" i="5"/>
  <c r="E77" i="5"/>
  <c r="E71" i="5"/>
  <c r="D75" i="5"/>
  <c r="D88" i="5"/>
  <c r="D90" i="5"/>
  <c r="D86" i="5"/>
  <c r="C75" i="5"/>
  <c r="E74" i="5"/>
  <c r="D74" i="5"/>
  <c r="C74" i="5"/>
  <c r="E67" i="5"/>
  <c r="D67" i="5"/>
  <c r="C67" i="5"/>
  <c r="E38" i="5"/>
  <c r="E49" i="5"/>
  <c r="D38" i="5"/>
  <c r="D53" i="5"/>
  <c r="C38" i="5"/>
  <c r="C53" i="5"/>
  <c r="E33" i="5"/>
  <c r="E34" i="5"/>
  <c r="D33" i="5"/>
  <c r="D34" i="5"/>
  <c r="E26" i="5"/>
  <c r="D26" i="5"/>
  <c r="C26" i="5"/>
  <c r="E25" i="5"/>
  <c r="E27" i="5"/>
  <c r="E21" i="5"/>
  <c r="E13" i="5"/>
  <c r="E15" i="5"/>
  <c r="E24" i="5"/>
  <c r="D13" i="5"/>
  <c r="D25" i="5"/>
  <c r="D27" i="5"/>
  <c r="C13" i="5"/>
  <c r="C25" i="5"/>
  <c r="C27" i="5"/>
  <c r="F186" i="4"/>
  <c r="E186" i="4"/>
  <c r="D183" i="4"/>
  <c r="E183" i="4"/>
  <c r="F183" i="4"/>
  <c r="C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F176" i="4"/>
  <c r="E176" i="4"/>
  <c r="F175" i="4"/>
  <c r="E175" i="4"/>
  <c r="F174" i="4"/>
  <c r="E174" i="4"/>
  <c r="F173" i="4"/>
  <c r="E173" i="4"/>
  <c r="F172" i="4"/>
  <c r="E172" i="4"/>
  <c r="F171" i="4"/>
  <c r="E171" i="4"/>
  <c r="F170" i="4"/>
  <c r="E170" i="4"/>
  <c r="D167" i="4"/>
  <c r="E167" i="4"/>
  <c r="F167" i="4"/>
  <c r="C167" i="4"/>
  <c r="F166" i="4"/>
  <c r="E166" i="4"/>
  <c r="F165" i="4"/>
  <c r="E165" i="4"/>
  <c r="E164" i="4"/>
  <c r="F164" i="4"/>
  <c r="F163" i="4"/>
  <c r="E163" i="4"/>
  <c r="F162" i="4"/>
  <c r="E162" i="4"/>
  <c r="F161" i="4"/>
  <c r="E161" i="4"/>
  <c r="E160" i="4"/>
  <c r="F160" i="4"/>
  <c r="F159" i="4"/>
  <c r="E159" i="4"/>
  <c r="E158" i="4"/>
  <c r="F158" i="4"/>
  <c r="F157" i="4"/>
  <c r="E157" i="4"/>
  <c r="E156" i="4"/>
  <c r="F156" i="4"/>
  <c r="E155" i="4"/>
  <c r="F155" i="4"/>
  <c r="E154" i="4"/>
  <c r="F154" i="4"/>
  <c r="F153" i="4"/>
  <c r="E153" i="4"/>
  <c r="F152" i="4"/>
  <c r="E152" i="4"/>
  <c r="E151" i="4"/>
  <c r="F151" i="4"/>
  <c r="E150" i="4"/>
  <c r="F150" i="4"/>
  <c r="F149" i="4"/>
  <c r="E149" i="4"/>
  <c r="F148" i="4"/>
  <c r="E148" i="4"/>
  <c r="F147" i="4"/>
  <c r="E147" i="4"/>
  <c r="E146" i="4"/>
  <c r="F146" i="4"/>
  <c r="E145" i="4"/>
  <c r="F145" i="4"/>
  <c r="E144" i="4"/>
  <c r="F144" i="4"/>
  <c r="F143" i="4"/>
  <c r="E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C188" i="4"/>
  <c r="F129" i="4"/>
  <c r="E129" i="4"/>
  <c r="E128" i="4"/>
  <c r="F128" i="4"/>
  <c r="E127" i="4"/>
  <c r="F127" i="4"/>
  <c r="E126" i="4"/>
  <c r="F126" i="4"/>
  <c r="F125" i="4"/>
  <c r="E125" i="4"/>
  <c r="F124" i="4"/>
  <c r="E124" i="4"/>
  <c r="D121" i="4"/>
  <c r="C121" i="4"/>
  <c r="E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F114" i="4"/>
  <c r="E114" i="4"/>
  <c r="E113" i="4"/>
  <c r="F113" i="4"/>
  <c r="E112" i="4"/>
  <c r="F112" i="4"/>
  <c r="E111" i="4"/>
  <c r="F111" i="4"/>
  <c r="E110" i="4"/>
  <c r="F110" i="4"/>
  <c r="E109" i="4"/>
  <c r="F109" i="4"/>
  <c r="F108" i="4"/>
  <c r="E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E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E75" i="4"/>
  <c r="F75" i="4"/>
  <c r="E74" i="4"/>
  <c r="F74" i="4"/>
  <c r="E73" i="4"/>
  <c r="F73" i="4"/>
  <c r="E72" i="4"/>
  <c r="F72" i="4"/>
  <c r="F71" i="4"/>
  <c r="E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9" i="4"/>
  <c r="E58" i="4"/>
  <c r="F58" i="4"/>
  <c r="E57" i="4"/>
  <c r="F57" i="4"/>
  <c r="E56" i="4"/>
  <c r="F56" i="4"/>
  <c r="F55" i="4"/>
  <c r="E55" i="4"/>
  <c r="E54" i="4"/>
  <c r="F54" i="4"/>
  <c r="E53" i="4"/>
  <c r="F53" i="4"/>
  <c r="E50" i="4"/>
  <c r="F50" i="4"/>
  <c r="E47" i="4"/>
  <c r="F47" i="4"/>
  <c r="E44" i="4"/>
  <c r="F44" i="4"/>
  <c r="D41" i="4"/>
  <c r="C41" i="4"/>
  <c r="E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F93" i="3"/>
  <c r="D93" i="3"/>
  <c r="E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F50" i="3"/>
  <c r="D50" i="3"/>
  <c r="E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F41" i="3"/>
  <c r="C41" i="3"/>
  <c r="C52" i="3"/>
  <c r="D38" i="3"/>
  <c r="C38" i="3"/>
  <c r="E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5" i="2"/>
  <c r="E45" i="2"/>
  <c r="E44" i="2"/>
  <c r="F44" i="2"/>
  <c r="D39" i="2"/>
  <c r="E39" i="2"/>
  <c r="C39" i="2"/>
  <c r="E38" i="2"/>
  <c r="F38" i="2"/>
  <c r="F37" i="2"/>
  <c r="E37" i="2"/>
  <c r="F36" i="2"/>
  <c r="E36" i="2"/>
  <c r="D31" i="2"/>
  <c r="E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C19" i="2"/>
  <c r="E15" i="2"/>
  <c r="F15" i="2"/>
  <c r="E14" i="2"/>
  <c r="F14" i="2"/>
  <c r="E13" i="2"/>
  <c r="F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C65" i="1"/>
  <c r="F60" i="1"/>
  <c r="E60" i="1"/>
  <c r="E59" i="1"/>
  <c r="F59" i="1"/>
  <c r="D56" i="1"/>
  <c r="C56" i="1"/>
  <c r="C75" i="1"/>
  <c r="F55" i="1"/>
  <c r="E55" i="1"/>
  <c r="F54" i="1"/>
  <c r="E54" i="1"/>
  <c r="F53" i="1"/>
  <c r="E53" i="1"/>
  <c r="F52" i="1"/>
  <c r="E52" i="1"/>
  <c r="F51" i="1"/>
  <c r="E51" i="1"/>
  <c r="A51" i="1"/>
  <c r="A52" i="1"/>
  <c r="A53" i="1"/>
  <c r="A54" i="1"/>
  <c r="A55" i="1"/>
  <c r="E50" i="1"/>
  <c r="F50" i="1"/>
  <c r="A50" i="1"/>
  <c r="F49" i="1"/>
  <c r="E49" i="1"/>
  <c r="F40" i="1"/>
  <c r="E40" i="1"/>
  <c r="D38" i="1"/>
  <c r="E38" i="1"/>
  <c r="F38" i="1"/>
  <c r="C38" i="1"/>
  <c r="C41" i="1"/>
  <c r="E37" i="1"/>
  <c r="F37" i="1"/>
  <c r="E36" i="1"/>
  <c r="F36" i="1"/>
  <c r="E33" i="1"/>
  <c r="F33" i="1"/>
  <c r="E32" i="1"/>
  <c r="F32" i="1"/>
  <c r="E31" i="1"/>
  <c r="F31" i="1"/>
  <c r="D29" i="1"/>
  <c r="C29" i="1"/>
  <c r="E29" i="1"/>
  <c r="F28" i="1"/>
  <c r="E28" i="1"/>
  <c r="E27" i="1"/>
  <c r="F27" i="1"/>
  <c r="F26" i="1"/>
  <c r="E26" i="1"/>
  <c r="F25" i="1"/>
  <c r="E25" i="1"/>
  <c r="D22" i="1"/>
  <c r="C22" i="1"/>
  <c r="C43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126" i="14"/>
  <c r="D127" i="14"/>
  <c r="F52" i="14"/>
  <c r="F95" i="14"/>
  <c r="F307" i="14"/>
  <c r="D68" i="14"/>
  <c r="D264" i="14"/>
  <c r="D140" i="5"/>
  <c r="D136" i="5"/>
  <c r="D139" i="5"/>
  <c r="D135" i="5"/>
  <c r="D138" i="5"/>
  <c r="D137" i="5"/>
  <c r="D33" i="2"/>
  <c r="E19" i="2"/>
  <c r="D21" i="5"/>
  <c r="C21" i="5"/>
  <c r="C139" i="5"/>
  <c r="C135" i="5"/>
  <c r="C138" i="5"/>
  <c r="C137" i="5"/>
  <c r="C140" i="5"/>
  <c r="C136" i="5"/>
  <c r="E154" i="5"/>
  <c r="E157" i="5"/>
  <c r="E153" i="5"/>
  <c r="E156" i="5"/>
  <c r="E152" i="5"/>
  <c r="E158" i="5"/>
  <c r="E155" i="5"/>
  <c r="D157" i="5"/>
  <c r="D153" i="5"/>
  <c r="D156" i="5"/>
  <c r="D152" i="5"/>
  <c r="D155" i="5"/>
  <c r="D154" i="5"/>
  <c r="E65" i="1"/>
  <c r="F19" i="2"/>
  <c r="C33" i="2"/>
  <c r="C157" i="5"/>
  <c r="C156" i="5"/>
  <c r="C152" i="5"/>
  <c r="C158" i="5"/>
  <c r="C155" i="5"/>
  <c r="C154" i="5"/>
  <c r="C153" i="5"/>
  <c r="F65" i="1"/>
  <c r="D75" i="1"/>
  <c r="E75" i="1"/>
  <c r="E95" i="3"/>
  <c r="F95" i="3"/>
  <c r="E137" i="5"/>
  <c r="E140" i="5"/>
  <c r="E136" i="5"/>
  <c r="E139" i="5"/>
  <c r="E135" i="5"/>
  <c r="E141" i="5"/>
  <c r="E138" i="5"/>
  <c r="E19" i="9"/>
  <c r="F19" i="9"/>
  <c r="C33" i="9"/>
  <c r="D21" i="10"/>
  <c r="E25" i="10"/>
  <c r="E27" i="10"/>
  <c r="E15" i="10"/>
  <c r="E111" i="14"/>
  <c r="F111" i="14"/>
  <c r="D52" i="3"/>
  <c r="E52" i="3"/>
  <c r="F52" i="3"/>
  <c r="D95" i="4"/>
  <c r="D188" i="4"/>
  <c r="E188" i="4"/>
  <c r="F188" i="4"/>
  <c r="C57" i="5"/>
  <c r="C62" i="5"/>
  <c r="E22" i="1"/>
  <c r="F22" i="1"/>
  <c r="E56" i="1"/>
  <c r="F56" i="1"/>
  <c r="E61" i="1"/>
  <c r="F61" i="1"/>
  <c r="E16" i="2"/>
  <c r="F16" i="2"/>
  <c r="D15" i="5"/>
  <c r="E17" i="5"/>
  <c r="C43" i="5"/>
  <c r="E53" i="5"/>
  <c r="D77" i="5"/>
  <c r="D71" i="5"/>
  <c r="F202" i="6"/>
  <c r="F206" i="6"/>
  <c r="D207" i="6"/>
  <c r="E207" i="6"/>
  <c r="F35" i="7"/>
  <c r="F60" i="7"/>
  <c r="F107" i="7"/>
  <c r="E112" i="7"/>
  <c r="C80" i="10"/>
  <c r="C77" i="10"/>
  <c r="I17" i="11"/>
  <c r="C33" i="11"/>
  <c r="C36" i="11"/>
  <c r="C38" i="11"/>
  <c r="C40" i="11"/>
  <c r="E48" i="10"/>
  <c r="E42" i="10"/>
  <c r="E59" i="10"/>
  <c r="E61" i="10"/>
  <c r="E57" i="10"/>
  <c r="F207" i="6"/>
  <c r="D208" i="6"/>
  <c r="E208" i="6"/>
  <c r="F208" i="6"/>
  <c r="I31" i="11"/>
  <c r="G33" i="11"/>
  <c r="C15" i="10"/>
  <c r="C25" i="10"/>
  <c r="C27" i="10"/>
  <c r="E138" i="14"/>
  <c r="F138" i="14"/>
  <c r="E264" i="14"/>
  <c r="F264" i="14"/>
  <c r="D41" i="1"/>
  <c r="E41" i="1"/>
  <c r="F41" i="1"/>
  <c r="E20" i="5"/>
  <c r="C49" i="5"/>
  <c r="E57" i="5"/>
  <c r="E62" i="5"/>
  <c r="E84" i="3"/>
  <c r="F84" i="3"/>
  <c r="F204" i="6"/>
  <c r="F23" i="7"/>
  <c r="F24" i="7"/>
  <c r="F95" i="7"/>
  <c r="F96" i="7"/>
  <c r="F112" i="7"/>
  <c r="E114" i="7"/>
  <c r="F114" i="7"/>
  <c r="F116" i="7"/>
  <c r="E118" i="7"/>
  <c r="F118" i="7"/>
  <c r="F120" i="7"/>
  <c r="E22" i="8"/>
  <c r="F22" i="8"/>
  <c r="F38" i="8"/>
  <c r="C41" i="8"/>
  <c r="C43" i="8"/>
  <c r="E56" i="8"/>
  <c r="F56" i="8"/>
  <c r="F61" i="8"/>
  <c r="F73" i="8"/>
  <c r="E33" i="11"/>
  <c r="E36" i="11"/>
  <c r="E38" i="11"/>
  <c r="E40" i="11"/>
  <c r="F16" i="12"/>
  <c r="E37" i="12"/>
  <c r="F37" i="12"/>
  <c r="F50" i="12"/>
  <c r="E60" i="12"/>
  <c r="F60" i="12"/>
  <c r="F70" i="12"/>
  <c r="F84" i="12"/>
  <c r="F92" i="12"/>
  <c r="E99" i="12"/>
  <c r="F99" i="12"/>
  <c r="E13" i="13"/>
  <c r="F13" i="13"/>
  <c r="E17" i="13"/>
  <c r="F17" i="13"/>
  <c r="E21" i="13"/>
  <c r="F21" i="13"/>
  <c r="C59" i="10"/>
  <c r="C61" i="10"/>
  <c r="C57" i="10"/>
  <c r="C48" i="10"/>
  <c r="C42" i="10"/>
  <c r="E203" i="6"/>
  <c r="F203" i="6"/>
  <c r="F205" i="6"/>
  <c r="E36" i="7"/>
  <c r="F36" i="7"/>
  <c r="F59" i="7"/>
  <c r="E83" i="7"/>
  <c r="E108" i="7"/>
  <c r="F108" i="7"/>
  <c r="F113" i="7"/>
  <c r="E115" i="7"/>
  <c r="F115" i="7"/>
  <c r="F117" i="7"/>
  <c r="E119" i="7"/>
  <c r="F119" i="7"/>
  <c r="F121" i="7"/>
  <c r="F29" i="8"/>
  <c r="C75" i="8"/>
  <c r="E16" i="9"/>
  <c r="F16" i="9"/>
  <c r="F39" i="9"/>
  <c r="F46" i="9"/>
  <c r="F45" i="12"/>
  <c r="E55" i="12"/>
  <c r="F55" i="12"/>
  <c r="F65" i="12"/>
  <c r="E75" i="12"/>
  <c r="F75" i="12"/>
  <c r="D157" i="15"/>
  <c r="E278" i="14"/>
  <c r="F278" i="14"/>
  <c r="H17" i="11"/>
  <c r="E30" i="14"/>
  <c r="F30" i="14"/>
  <c r="E36" i="14"/>
  <c r="F36" i="14"/>
  <c r="E59" i="14"/>
  <c r="F59" i="14"/>
  <c r="E85" i="14"/>
  <c r="F85" i="14"/>
  <c r="E94" i="14"/>
  <c r="F94" i="14"/>
  <c r="F109" i="14"/>
  <c r="C124" i="14"/>
  <c r="C126" i="14"/>
  <c r="E145" i="14"/>
  <c r="F145" i="14"/>
  <c r="C172" i="14"/>
  <c r="E179" i="14"/>
  <c r="C194" i="14"/>
  <c r="C227" i="14"/>
  <c r="E237" i="14"/>
  <c r="C274" i="14"/>
  <c r="C300" i="14"/>
  <c r="F283" i="14"/>
  <c r="C290" i="14"/>
  <c r="D43" i="15"/>
  <c r="D44" i="15"/>
  <c r="E219" i="15"/>
  <c r="C285" i="14"/>
  <c r="E204" i="14"/>
  <c r="F204" i="14"/>
  <c r="D71" i="15"/>
  <c r="D65" i="15"/>
  <c r="D246" i="15"/>
  <c r="D289" i="15"/>
  <c r="E289" i="15"/>
  <c r="E60" i="15"/>
  <c r="D144" i="15"/>
  <c r="D175" i="15"/>
  <c r="E175" i="15"/>
  <c r="E139" i="15"/>
  <c r="E228" i="15"/>
  <c r="C253" i="15"/>
  <c r="C45" i="19"/>
  <c r="C39" i="19"/>
  <c r="C35" i="19"/>
  <c r="C29" i="19"/>
  <c r="C110" i="19"/>
  <c r="C53" i="19"/>
  <c r="E109" i="19"/>
  <c r="E108" i="19"/>
  <c r="D139" i="14"/>
  <c r="D104" i="14"/>
  <c r="D174" i="14"/>
  <c r="D254" i="14"/>
  <c r="F24" i="14"/>
  <c r="F53" i="14"/>
  <c r="F67" i="14"/>
  <c r="F89" i="14"/>
  <c r="C91" i="14"/>
  <c r="F100" i="14"/>
  <c r="F110" i="14"/>
  <c r="F130" i="14"/>
  <c r="C190" i="14"/>
  <c r="C192" i="14"/>
  <c r="C199" i="14"/>
  <c r="C206" i="14"/>
  <c r="C215" i="14"/>
  <c r="C261" i="14"/>
  <c r="C279" i="14"/>
  <c r="C288" i="14"/>
  <c r="E195" i="15"/>
  <c r="E215" i="15"/>
  <c r="C41" i="17"/>
  <c r="D90" i="14"/>
  <c r="D207" i="14"/>
  <c r="C207" i="14"/>
  <c r="E137" i="14"/>
  <c r="F137" i="14"/>
  <c r="C283" i="15"/>
  <c r="E283" i="15"/>
  <c r="C22" i="15"/>
  <c r="C284" i="15"/>
  <c r="D33" i="15"/>
  <c r="E32" i="15"/>
  <c r="C252" i="15"/>
  <c r="C254" i="15"/>
  <c r="E243" i="15"/>
  <c r="E220" i="15"/>
  <c r="D244" i="15"/>
  <c r="E244" i="15"/>
  <c r="D320" i="15"/>
  <c r="E320" i="15"/>
  <c r="E316" i="15"/>
  <c r="D330" i="15"/>
  <c r="E330" i="15"/>
  <c r="E326" i="15"/>
  <c r="D175" i="14"/>
  <c r="D140" i="14"/>
  <c r="D62" i="14"/>
  <c r="D105" i="14"/>
  <c r="E21" i="14"/>
  <c r="F21" i="14"/>
  <c r="C31" i="14"/>
  <c r="C37" i="14"/>
  <c r="C60" i="14"/>
  <c r="E123" i="14"/>
  <c r="F123" i="14"/>
  <c r="F129" i="14"/>
  <c r="E188" i="14"/>
  <c r="F188" i="14"/>
  <c r="E191" i="14"/>
  <c r="F198" i="14"/>
  <c r="F230" i="14"/>
  <c r="C254" i="14"/>
  <c r="C266" i="14"/>
  <c r="C284" i="14"/>
  <c r="F296" i="14"/>
  <c r="F298" i="14"/>
  <c r="F311" i="14"/>
  <c r="C43" i="15"/>
  <c r="D223" i="15"/>
  <c r="E252" i="15"/>
  <c r="E20" i="17"/>
  <c r="E40" i="17"/>
  <c r="E290" i="14"/>
  <c r="C146" i="14"/>
  <c r="F144" i="14"/>
  <c r="E22" i="15"/>
  <c r="D55" i="15"/>
  <c r="D284" i="15"/>
  <c r="E284" i="15"/>
  <c r="E55" i="15"/>
  <c r="E54" i="15"/>
  <c r="C163" i="15"/>
  <c r="E163" i="15"/>
  <c r="C156" i="15"/>
  <c r="E156" i="15"/>
  <c r="D189" i="15"/>
  <c r="D261" i="15"/>
  <c r="E261" i="15"/>
  <c r="E188" i="15"/>
  <c r="E205" i="15"/>
  <c r="D210" i="15"/>
  <c r="E216" i="15"/>
  <c r="D240" i="15"/>
  <c r="D242" i="15"/>
  <c r="E242" i="15"/>
  <c r="E218" i="15"/>
  <c r="D217" i="15"/>
  <c r="C108" i="19"/>
  <c r="C109" i="19"/>
  <c r="D109" i="19"/>
  <c r="D108" i="19"/>
  <c r="F179" i="14"/>
  <c r="F191" i="14"/>
  <c r="C200" i="14"/>
  <c r="C214" i="14"/>
  <c r="E214" i="14"/>
  <c r="F214" i="14"/>
  <c r="F237" i="14"/>
  <c r="C269" i="14"/>
  <c r="C280" i="14"/>
  <c r="E69" i="15"/>
  <c r="D229" i="15"/>
  <c r="E229" i="15"/>
  <c r="F20" i="17"/>
  <c r="F40" i="17"/>
  <c r="E181" i="14"/>
  <c r="E239" i="14"/>
  <c r="F239" i="14"/>
  <c r="E233" i="15"/>
  <c r="E251" i="15"/>
  <c r="C22" i="16"/>
  <c r="E29" i="19"/>
  <c r="C33" i="19"/>
  <c r="D34" i="19"/>
  <c r="E35" i="19"/>
  <c r="E39" i="19"/>
  <c r="E45" i="19"/>
  <c r="C101" i="19"/>
  <c r="C103" i="19"/>
  <c r="D102" i="19"/>
  <c r="D103" i="19"/>
  <c r="E111" i="19"/>
  <c r="D125" i="14"/>
  <c r="D161" i="14"/>
  <c r="D267" i="14"/>
  <c r="D277" i="14"/>
  <c r="D285" i="14"/>
  <c r="E285" i="14"/>
  <c r="D306" i="14"/>
  <c r="E314" i="15"/>
  <c r="D22" i="19"/>
  <c r="E30" i="19"/>
  <c r="E36" i="19"/>
  <c r="E40" i="19"/>
  <c r="E46" i="19"/>
  <c r="C54" i="19"/>
  <c r="D160" i="14"/>
  <c r="D192" i="14"/>
  <c r="D200" i="14"/>
  <c r="D206" i="14"/>
  <c r="E206" i="14"/>
  <c r="F206" i="14"/>
  <c r="D262" i="14"/>
  <c r="D263" i="14"/>
  <c r="E263" i="14"/>
  <c r="F263" i="14"/>
  <c r="D274" i="14"/>
  <c r="E274" i="14"/>
  <c r="C222" i="15"/>
  <c r="E231" i="15"/>
  <c r="E260" i="15"/>
  <c r="E324" i="15"/>
  <c r="E19" i="17"/>
  <c r="F19" i="17"/>
  <c r="E39" i="17"/>
  <c r="F39" i="17"/>
  <c r="E43" i="17"/>
  <c r="D23" i="19"/>
  <c r="E53" i="19"/>
  <c r="E101" i="19"/>
  <c r="E103" i="19"/>
  <c r="C111" i="19"/>
  <c r="D49" i="14"/>
  <c r="D91" i="14"/>
  <c r="D92" i="14"/>
  <c r="D199" i="14"/>
  <c r="E199" i="14"/>
  <c r="D205" i="14"/>
  <c r="E205" i="14"/>
  <c r="F205" i="14"/>
  <c r="D215" i="14"/>
  <c r="D255" i="14"/>
  <c r="E255" i="14"/>
  <c r="F255" i="14"/>
  <c r="D261" i="14"/>
  <c r="C30" i="19"/>
  <c r="C36" i="19"/>
  <c r="C40" i="19"/>
  <c r="D190" i="14"/>
  <c r="E190" i="14"/>
  <c r="C127" i="14"/>
  <c r="E126" i="14"/>
  <c r="F126" i="14"/>
  <c r="E215" i="14"/>
  <c r="E91" i="14"/>
  <c r="D268" i="14"/>
  <c r="D271" i="14"/>
  <c r="E261" i="14"/>
  <c r="F261" i="14"/>
  <c r="E41" i="17"/>
  <c r="D272" i="14"/>
  <c r="E262" i="14"/>
  <c r="F262" i="14"/>
  <c r="D193" i="14"/>
  <c r="E192" i="14"/>
  <c r="F192" i="14"/>
  <c r="D287" i="14"/>
  <c r="D279" i="14"/>
  <c r="E279" i="14"/>
  <c r="F279" i="14"/>
  <c r="D284" i="14"/>
  <c r="E284" i="14"/>
  <c r="F284" i="14"/>
  <c r="E277" i="14"/>
  <c r="F277" i="14"/>
  <c r="E47" i="19"/>
  <c r="E37" i="19"/>
  <c r="E112" i="19"/>
  <c r="E55" i="19"/>
  <c r="E269" i="14"/>
  <c r="F269" i="14"/>
  <c r="C270" i="14"/>
  <c r="C32" i="14"/>
  <c r="E31" i="14"/>
  <c r="F31" i="14"/>
  <c r="D63" i="14"/>
  <c r="C271" i="14"/>
  <c r="C263" i="14"/>
  <c r="C268" i="14"/>
  <c r="F285" i="14"/>
  <c r="C286" i="14"/>
  <c r="E227" i="14"/>
  <c r="F227" i="14"/>
  <c r="E33" i="9"/>
  <c r="F33" i="9"/>
  <c r="C41" i="9"/>
  <c r="F41" i="17"/>
  <c r="D43" i="1"/>
  <c r="E43" i="1"/>
  <c r="F43" i="17"/>
  <c r="C216" i="14"/>
  <c r="C157" i="15"/>
  <c r="E157" i="15"/>
  <c r="E33" i="15"/>
  <c r="E124" i="14"/>
  <c r="F124" i="14"/>
  <c r="G36" i="11"/>
  <c r="G38" i="11"/>
  <c r="G40" i="11"/>
  <c r="I33" i="11"/>
  <c r="I36" i="11"/>
  <c r="I38" i="11"/>
  <c r="I40" i="11"/>
  <c r="D24" i="5"/>
  <c r="D20" i="5"/>
  <c r="D17" i="5"/>
  <c r="E21" i="10"/>
  <c r="C41" i="2"/>
  <c r="F199" i="14"/>
  <c r="D216" i="14"/>
  <c r="E216" i="14"/>
  <c r="F216" i="14"/>
  <c r="D158" i="5"/>
  <c r="D53" i="19"/>
  <c r="D45" i="19"/>
  <c r="D39" i="19"/>
  <c r="D35" i="19"/>
  <c r="D29" i="19"/>
  <c r="D110" i="19"/>
  <c r="E280" i="14"/>
  <c r="F280" i="14"/>
  <c r="E37" i="14"/>
  <c r="F37" i="14"/>
  <c r="C208" i="14"/>
  <c r="C56" i="19"/>
  <c r="C48" i="19"/>
  <c r="C38" i="19"/>
  <c r="C113" i="19"/>
  <c r="D50" i="14"/>
  <c r="D46" i="19"/>
  <c r="D40" i="19"/>
  <c r="D36" i="19"/>
  <c r="D30" i="19"/>
  <c r="D111" i="19"/>
  <c r="D54" i="19"/>
  <c r="E48" i="19"/>
  <c r="E38" i="19"/>
  <c r="E113" i="19"/>
  <c r="E56" i="19"/>
  <c r="D162" i="14"/>
  <c r="D234" i="15"/>
  <c r="D211" i="15"/>
  <c r="E146" i="14"/>
  <c r="F146" i="14"/>
  <c r="D106" i="14"/>
  <c r="D176" i="14"/>
  <c r="D208" i="14"/>
  <c r="E207" i="14"/>
  <c r="F207" i="14"/>
  <c r="C112" i="19"/>
  <c r="C55" i="19"/>
  <c r="C47" i="19"/>
  <c r="C37" i="19"/>
  <c r="D168" i="15"/>
  <c r="D145" i="15"/>
  <c r="D180" i="15"/>
  <c r="C17" i="10"/>
  <c r="C28" i="10"/>
  <c r="C70" i="10"/>
  <c r="C72" i="10"/>
  <c r="C69" i="10"/>
  <c r="C24" i="10"/>
  <c r="E112" i="5"/>
  <c r="E111" i="5"/>
  <c r="E28" i="5"/>
  <c r="E24" i="10"/>
  <c r="E20" i="10"/>
  <c r="E17" i="10"/>
  <c r="E28" i="10"/>
  <c r="E70" i="10"/>
  <c r="E72" i="10"/>
  <c r="E69" i="10"/>
  <c r="E33" i="2"/>
  <c r="F33" i="2"/>
  <c r="D41" i="2"/>
  <c r="E200" i="14"/>
  <c r="F200" i="14"/>
  <c r="D294" i="15"/>
  <c r="C223" i="15"/>
  <c r="D76" i="15"/>
  <c r="D259" i="15"/>
  <c r="D263" i="15"/>
  <c r="F290" i="14"/>
  <c r="C272" i="14"/>
  <c r="C196" i="14"/>
  <c r="E41" i="8"/>
  <c r="F41" i="8"/>
  <c r="D270" i="14"/>
  <c r="E270" i="14"/>
  <c r="E267" i="14"/>
  <c r="F267" i="14"/>
  <c r="D241" i="15"/>
  <c r="E217" i="15"/>
  <c r="C61" i="14"/>
  <c r="E60" i="14"/>
  <c r="F60" i="14"/>
  <c r="D141" i="14"/>
  <c r="F91" i="14"/>
  <c r="C92" i="14"/>
  <c r="E254" i="14"/>
  <c r="F254" i="14"/>
  <c r="D66" i="15"/>
  <c r="E43" i="15"/>
  <c r="F172" i="14"/>
  <c r="E172" i="14"/>
  <c r="C173" i="14"/>
  <c r="F173" i="14"/>
  <c r="D286" i="14"/>
  <c r="E286" i="14"/>
  <c r="F286" i="14"/>
  <c r="F215" i="14"/>
  <c r="F190" i="14"/>
  <c r="D300" i="14"/>
  <c r="F274" i="14"/>
  <c r="C304" i="14"/>
  <c r="D288" i="14"/>
  <c r="E288" i="14"/>
  <c r="F288" i="14"/>
  <c r="C265" i="14"/>
  <c r="E222" i="15"/>
  <c r="E75" i="8"/>
  <c r="F75" i="8"/>
  <c r="C141" i="5"/>
  <c r="D141" i="5"/>
  <c r="E173" i="14"/>
  <c r="D322" i="14"/>
  <c r="D235" i="15"/>
  <c r="D47" i="19"/>
  <c r="D37" i="19"/>
  <c r="D112" i="19"/>
  <c r="D55" i="19"/>
  <c r="D194" i="14"/>
  <c r="E193" i="14"/>
  <c r="F193" i="14"/>
  <c r="D282" i="14"/>
  <c r="D266" i="14"/>
  <c r="F270" i="14"/>
  <c r="E268" i="14"/>
  <c r="E208" i="14"/>
  <c r="F208" i="14"/>
  <c r="D210" i="14"/>
  <c r="D209" i="14"/>
  <c r="D183" i="14"/>
  <c r="D323" i="14"/>
  <c r="D70" i="14"/>
  <c r="C140" i="14"/>
  <c r="E32" i="14"/>
  <c r="C175" i="14"/>
  <c r="F32" i="14"/>
  <c r="C210" i="14"/>
  <c r="C62" i="14"/>
  <c r="D304" i="14"/>
  <c r="D273" i="14"/>
  <c r="E271" i="14"/>
  <c r="E22" i="10"/>
  <c r="F268" i="14"/>
  <c r="C174" i="14"/>
  <c r="C209" i="14"/>
  <c r="C139" i="14"/>
  <c r="E61" i="14"/>
  <c r="F61" i="14"/>
  <c r="D181" i="15"/>
  <c r="D169" i="15"/>
  <c r="D48" i="2"/>
  <c r="E41" i="2"/>
  <c r="F41" i="2"/>
  <c r="E99" i="5"/>
  <c r="E101" i="5"/>
  <c r="E98" i="5"/>
  <c r="E22" i="5"/>
  <c r="D113" i="19"/>
  <c r="D56" i="19"/>
  <c r="D48" i="19"/>
  <c r="D38" i="19"/>
  <c r="E41" i="9"/>
  <c r="F41" i="9"/>
  <c r="C48" i="9"/>
  <c r="C273" i="14"/>
  <c r="F271" i="14"/>
  <c r="D291" i="14"/>
  <c r="D289" i="14"/>
  <c r="D295" i="15"/>
  <c r="E272" i="14"/>
  <c r="F272" i="14"/>
  <c r="D247" i="15"/>
  <c r="D77" i="15"/>
  <c r="C48" i="2"/>
  <c r="D112" i="5"/>
  <c r="D111" i="5"/>
  <c r="D28" i="5"/>
  <c r="E223" i="15"/>
  <c r="E304" i="14"/>
  <c r="F304" i="14"/>
  <c r="E266" i="14"/>
  <c r="F266" i="14"/>
  <c r="D265" i="14"/>
  <c r="E265" i="14"/>
  <c r="F265" i="14"/>
  <c r="E209" i="14"/>
  <c r="F209" i="14"/>
  <c r="D126" i="15"/>
  <c r="D122" i="15"/>
  <c r="D115" i="15"/>
  <c r="D111" i="15"/>
  <c r="D124" i="15"/>
  <c r="D113" i="15"/>
  <c r="D109" i="15"/>
  <c r="D121" i="15"/>
  <c r="D110" i="15"/>
  <c r="D127" i="15"/>
  <c r="D125" i="15"/>
  <c r="D114" i="15"/>
  <c r="D123" i="15"/>
  <c r="D112" i="15"/>
  <c r="F48" i="9"/>
  <c r="E48" i="9"/>
  <c r="C141" i="14"/>
  <c r="E140" i="14"/>
  <c r="F140" i="14"/>
  <c r="E194" i="14"/>
  <c r="F194" i="14"/>
  <c r="D196" i="14"/>
  <c r="D195" i="14"/>
  <c r="E273" i="14"/>
  <c r="F273" i="14"/>
  <c r="F139" i="14"/>
  <c r="E139" i="14"/>
  <c r="D99" i="5"/>
  <c r="D101" i="5"/>
  <c r="D98" i="5"/>
  <c r="D22" i="5"/>
  <c r="D305" i="14"/>
  <c r="F174" i="14"/>
  <c r="E174" i="14"/>
  <c r="C63" i="14"/>
  <c r="E63" i="14"/>
  <c r="F63" i="14"/>
  <c r="E62" i="14"/>
  <c r="F62" i="14"/>
  <c r="C176" i="14"/>
  <c r="E175" i="14"/>
  <c r="F175" i="14"/>
  <c r="D211" i="14"/>
  <c r="E211" i="14"/>
  <c r="E210" i="14"/>
  <c r="F210" i="14"/>
  <c r="D281" i="14"/>
  <c r="E48" i="2"/>
  <c r="F48" i="2"/>
  <c r="D197" i="14"/>
  <c r="E196" i="14"/>
  <c r="F196" i="14"/>
  <c r="D128" i="15"/>
  <c r="F176" i="14"/>
  <c r="E176" i="14"/>
  <c r="D309" i="14"/>
  <c r="C211" i="14"/>
  <c r="C322" i="14"/>
  <c r="E322" i="14"/>
  <c r="F322" i="14"/>
  <c r="E141" i="14"/>
  <c r="F141" i="14"/>
  <c r="C148" i="14"/>
  <c r="D116" i="15"/>
  <c r="D310" i="14"/>
  <c r="D312" i="14"/>
  <c r="D117" i="15"/>
  <c r="F211" i="14"/>
  <c r="D113" i="14"/>
  <c r="D324" i="14"/>
  <c r="E92" i="14"/>
  <c r="F92" i="14"/>
  <c r="D95" i="15"/>
  <c r="D84" i="15"/>
  <c r="D258" i="15"/>
  <c r="D97" i="15"/>
  <c r="D98" i="15"/>
  <c r="D96" i="15"/>
  <c r="D83" i="15"/>
  <c r="D89" i="15"/>
  <c r="D99" i="15"/>
  <c r="D88" i="15"/>
  <c r="D101" i="15"/>
  <c r="D86" i="15"/>
  <c r="D87" i="15"/>
  <c r="D85" i="15"/>
  <c r="D100" i="15"/>
  <c r="C20" i="10"/>
  <c r="C22" i="10"/>
  <c r="C21" i="10"/>
  <c r="E127" i="14"/>
  <c r="F127" i="14"/>
  <c r="D148" i="14"/>
  <c r="E148" i="14"/>
  <c r="F148" i="14"/>
  <c r="F75" i="1"/>
  <c r="D313" i="14"/>
  <c r="E300" i="14"/>
  <c r="F300" i="14"/>
  <c r="E43" i="8"/>
  <c r="F43" i="8"/>
  <c r="F43" i="1"/>
  <c r="D129" i="15"/>
  <c r="C44" i="15"/>
  <c r="E240" i="15"/>
  <c r="F29" i="1"/>
  <c r="F73" i="1"/>
  <c r="F31" i="2"/>
  <c r="F39" i="2"/>
  <c r="F46" i="2"/>
  <c r="F25" i="3"/>
  <c r="F38" i="3"/>
  <c r="C95" i="4"/>
  <c r="F41" i="4"/>
  <c r="F59" i="4"/>
  <c r="F90" i="4"/>
  <c r="F121" i="4"/>
  <c r="C15" i="5"/>
  <c r="D57" i="5"/>
  <c r="D62" i="5"/>
  <c r="E43" i="5"/>
  <c r="D43" i="5"/>
  <c r="E88" i="5"/>
  <c r="E90" i="5"/>
  <c r="E86" i="5"/>
  <c r="F24" i="6"/>
  <c r="E36" i="6"/>
  <c r="E37" i="6"/>
  <c r="E65" i="8"/>
  <c r="F65" i="8"/>
  <c r="E130" i="4"/>
  <c r="F130" i="4"/>
  <c r="D49" i="5"/>
  <c r="F23" i="6"/>
  <c r="E62" i="6"/>
  <c r="F62" i="6"/>
  <c r="E63" i="6"/>
  <c r="F63" i="6"/>
  <c r="E75" i="6"/>
  <c r="F75" i="6"/>
  <c r="E76" i="6"/>
  <c r="F76" i="6"/>
  <c r="E88" i="6"/>
  <c r="F88" i="6"/>
  <c r="E89" i="6"/>
  <c r="F89" i="6"/>
  <c r="E114" i="6"/>
  <c r="F114" i="6"/>
  <c r="E115" i="6"/>
  <c r="F115" i="6"/>
  <c r="E198" i="6"/>
  <c r="E71" i="7"/>
  <c r="E72" i="7"/>
  <c r="D122" i="7"/>
  <c r="E122" i="7"/>
  <c r="F122" i="7"/>
  <c r="D48" i="10"/>
  <c r="D42" i="10"/>
  <c r="F33" i="11"/>
  <c r="D31" i="11"/>
  <c r="C282" i="14"/>
  <c r="E20" i="14"/>
  <c r="F20" i="14"/>
  <c r="F23" i="14"/>
  <c r="F47" i="14"/>
  <c r="C48" i="14"/>
  <c r="C287" i="14"/>
  <c r="F198" i="6"/>
  <c r="D15" i="10"/>
  <c r="E66" i="14"/>
  <c r="F66" i="14"/>
  <c r="C68" i="14"/>
  <c r="F101" i="14"/>
  <c r="C102" i="14"/>
  <c r="F120" i="14"/>
  <c r="F135" i="14"/>
  <c r="F136" i="14"/>
  <c r="F155" i="14"/>
  <c r="C159" i="14"/>
  <c r="E158" i="14"/>
  <c r="E170" i="14"/>
  <c r="E171" i="14"/>
  <c r="E189" i="14"/>
  <c r="F189" i="14"/>
  <c r="E203" i="14"/>
  <c r="F203" i="14"/>
  <c r="F238" i="14"/>
  <c r="C306" i="14"/>
  <c r="E250" i="14"/>
  <c r="F250" i="14"/>
  <c r="F295" i="14"/>
  <c r="F297" i="14"/>
  <c r="F299" i="14"/>
  <c r="C65" i="15"/>
  <c r="C71" i="15"/>
  <c r="C144" i="15"/>
  <c r="E176" i="15"/>
  <c r="E178" i="15"/>
  <c r="C210" i="15"/>
  <c r="C241" i="15"/>
  <c r="E241" i="15"/>
  <c r="C65" i="16"/>
  <c r="C114" i="16"/>
  <c r="C116" i="16"/>
  <c r="C119" i="16"/>
  <c r="C123" i="16"/>
  <c r="C189" i="15"/>
  <c r="E189" i="15"/>
  <c r="E239" i="15"/>
  <c r="F45" i="17"/>
  <c r="C64" i="16"/>
  <c r="E44" i="17"/>
  <c r="E46" i="17"/>
  <c r="F46" i="17"/>
  <c r="E45" i="17"/>
  <c r="D245" i="15"/>
  <c r="E245" i="15"/>
  <c r="D302" i="15"/>
  <c r="F36" i="17"/>
  <c r="C76" i="15"/>
  <c r="E71" i="15"/>
  <c r="E306" i="14"/>
  <c r="E102" i="14"/>
  <c r="C103" i="14"/>
  <c r="F102" i="14"/>
  <c r="E68" i="14"/>
  <c r="F68" i="14"/>
  <c r="D24" i="10"/>
  <c r="D20" i="10"/>
  <c r="D17" i="10"/>
  <c r="D28" i="10"/>
  <c r="C289" i="14"/>
  <c r="C291" i="14"/>
  <c r="E287" i="14"/>
  <c r="F287" i="14"/>
  <c r="C24" i="5"/>
  <c r="C20" i="5"/>
  <c r="C17" i="5"/>
  <c r="E95" i="4"/>
  <c r="F95" i="4"/>
  <c r="D253" i="15"/>
  <c r="D315" i="14"/>
  <c r="D256" i="14"/>
  <c r="D314" i="14"/>
  <c r="D251" i="14"/>
  <c r="D102" i="15"/>
  <c r="D90" i="15"/>
  <c r="C211" i="15"/>
  <c r="E210" i="15"/>
  <c r="C234" i="15"/>
  <c r="E234" i="15"/>
  <c r="E302" i="15"/>
  <c r="D303" i="15"/>
  <c r="F44" i="17"/>
  <c r="C180" i="15"/>
  <c r="E180" i="15"/>
  <c r="E144" i="15"/>
  <c r="C145" i="15"/>
  <c r="C168" i="15"/>
  <c r="E168" i="15"/>
  <c r="C66" i="15"/>
  <c r="C294" i="15"/>
  <c r="E294" i="15"/>
  <c r="C246" i="15"/>
  <c r="E246" i="15"/>
  <c r="E65" i="15"/>
  <c r="F159" i="14"/>
  <c r="E159" i="14"/>
  <c r="C161" i="14"/>
  <c r="C160" i="14"/>
  <c r="C125" i="14"/>
  <c r="C49" i="14"/>
  <c r="F48" i="14"/>
  <c r="E48" i="14"/>
  <c r="C90" i="14"/>
  <c r="C195" i="14"/>
  <c r="C281" i="14"/>
  <c r="E282" i="14"/>
  <c r="F282" i="14"/>
  <c r="H33" i="11"/>
  <c r="H36" i="11"/>
  <c r="H38" i="11"/>
  <c r="H40" i="11"/>
  <c r="F36" i="11"/>
  <c r="F38" i="11"/>
  <c r="F40" i="11"/>
  <c r="C258" i="15"/>
  <c r="C87" i="15"/>
  <c r="E87" i="15"/>
  <c r="C100" i="15"/>
  <c r="E100" i="15"/>
  <c r="C89" i="15"/>
  <c r="E89" i="15"/>
  <c r="C101" i="15"/>
  <c r="E101" i="15"/>
  <c r="C88" i="15"/>
  <c r="E88" i="15"/>
  <c r="C86" i="15"/>
  <c r="C84" i="15"/>
  <c r="C98" i="15"/>
  <c r="C83" i="15"/>
  <c r="C96" i="15"/>
  <c r="C85" i="15"/>
  <c r="C99" i="15"/>
  <c r="C97" i="15"/>
  <c r="E97" i="15"/>
  <c r="C95" i="15"/>
  <c r="D131" i="15"/>
  <c r="E85" i="15"/>
  <c r="E86" i="15"/>
  <c r="E44" i="15"/>
  <c r="E99" i="15"/>
  <c r="E83" i="15"/>
  <c r="D91" i="15"/>
  <c r="E98" i="15"/>
  <c r="D264" i="15"/>
  <c r="E258" i="15"/>
  <c r="E95" i="15"/>
  <c r="D103" i="15"/>
  <c r="D325" i="14"/>
  <c r="D266" i="15"/>
  <c r="D105" i="15"/>
  <c r="C103" i="15"/>
  <c r="E103" i="15"/>
  <c r="C102" i="15"/>
  <c r="F195" i="14"/>
  <c r="E195" i="14"/>
  <c r="C50" i="14"/>
  <c r="E49" i="14"/>
  <c r="F49" i="14"/>
  <c r="E160" i="14"/>
  <c r="F160" i="14"/>
  <c r="E96" i="15"/>
  <c r="D318" i="14"/>
  <c r="E253" i="15"/>
  <c r="D254" i="15"/>
  <c r="E254" i="15"/>
  <c r="C305" i="14"/>
  <c r="E291" i="14"/>
  <c r="F291" i="14"/>
  <c r="E289" i="14"/>
  <c r="F289" i="14"/>
  <c r="C105" i="14"/>
  <c r="E103" i="14"/>
  <c r="F103" i="14"/>
  <c r="C104" i="14"/>
  <c r="C91" i="15"/>
  <c r="C105" i="15"/>
  <c r="C90" i="15"/>
  <c r="E90" i="15"/>
  <c r="E281" i="14"/>
  <c r="F281" i="14"/>
  <c r="E90" i="14"/>
  <c r="F90" i="14"/>
  <c r="F125" i="14"/>
  <c r="E125" i="14"/>
  <c r="E161" i="14"/>
  <c r="C162" i="14"/>
  <c r="F161" i="14"/>
  <c r="E66" i="15"/>
  <c r="C247" i="15"/>
  <c r="E247" i="15"/>
  <c r="C295" i="15"/>
  <c r="E295" i="15"/>
  <c r="C181" i="15"/>
  <c r="E181" i="15"/>
  <c r="E145" i="15"/>
  <c r="C169" i="15"/>
  <c r="E169" i="15"/>
  <c r="E303" i="15"/>
  <c r="D306" i="15"/>
  <c r="E211" i="15"/>
  <c r="C235" i="15"/>
  <c r="E235" i="15"/>
  <c r="E84" i="15"/>
  <c r="E102" i="15"/>
  <c r="D257" i="14"/>
  <c r="C28" i="5"/>
  <c r="C112" i="5"/>
  <c r="C111" i="5"/>
  <c r="D70" i="10"/>
  <c r="D72" i="10"/>
  <c r="D69" i="10"/>
  <c r="D22" i="10"/>
  <c r="C77" i="15"/>
  <c r="E76" i="15"/>
  <c r="C259" i="15"/>
  <c r="C263" i="15"/>
  <c r="E259" i="15"/>
  <c r="C22" i="5"/>
  <c r="C99" i="5"/>
  <c r="C101" i="5"/>
  <c r="C98" i="5"/>
  <c r="F162" i="14"/>
  <c r="C197" i="14"/>
  <c r="E162" i="14"/>
  <c r="C183" i="14"/>
  <c r="C323" i="14"/>
  <c r="E50" i="14"/>
  <c r="F50" i="14"/>
  <c r="C70" i="14"/>
  <c r="E91" i="15"/>
  <c r="D267" i="15"/>
  <c r="C125" i="15"/>
  <c r="E125" i="15"/>
  <c r="C114" i="15"/>
  <c r="E114" i="15"/>
  <c r="C123" i="15"/>
  <c r="E123" i="15"/>
  <c r="C124" i="15"/>
  <c r="E124" i="15"/>
  <c r="C122" i="15"/>
  <c r="C111" i="15"/>
  <c r="E111" i="15"/>
  <c r="C115" i="15"/>
  <c r="E115" i="15"/>
  <c r="E77" i="15"/>
  <c r="C121" i="15"/>
  <c r="C110" i="15"/>
  <c r="C127" i="15"/>
  <c r="E127" i="15"/>
  <c r="C112" i="15"/>
  <c r="E112" i="15"/>
  <c r="C113" i="15"/>
  <c r="E113" i="15"/>
  <c r="C109" i="15"/>
  <c r="C126" i="15"/>
  <c r="E126" i="15"/>
  <c r="D310" i="15"/>
  <c r="E310" i="15"/>
  <c r="E306" i="15"/>
  <c r="F104" i="14"/>
  <c r="E104" i="14"/>
  <c r="C106" i="14"/>
  <c r="E105" i="14"/>
  <c r="F105" i="14"/>
  <c r="E305" i="14"/>
  <c r="C309" i="14"/>
  <c r="F305" i="14"/>
  <c r="E105" i="15"/>
  <c r="C310" i="14"/>
  <c r="E309" i="14"/>
  <c r="F309" i="14"/>
  <c r="C113" i="14"/>
  <c r="E106" i="14"/>
  <c r="F106" i="14"/>
  <c r="C324" i="14"/>
  <c r="E121" i="15"/>
  <c r="E122" i="15"/>
  <c r="C128" i="15"/>
  <c r="E128" i="15"/>
  <c r="E70" i="14"/>
  <c r="F70" i="14"/>
  <c r="F183" i="14"/>
  <c r="E183" i="14"/>
  <c r="E197" i="14"/>
  <c r="F197" i="14"/>
  <c r="E109" i="15"/>
  <c r="C116" i="15"/>
  <c r="E116" i="15"/>
  <c r="E110" i="15"/>
  <c r="D269" i="15"/>
  <c r="D268" i="15"/>
  <c r="F323" i="14"/>
  <c r="E323" i="14"/>
  <c r="E263" i="15"/>
  <c r="C264" i="15"/>
  <c r="C266" i="15"/>
  <c r="E264" i="15"/>
  <c r="D271" i="15"/>
  <c r="C117" i="15"/>
  <c r="C129" i="15"/>
  <c r="E129" i="15"/>
  <c r="C325" i="14"/>
  <c r="E324" i="14"/>
  <c r="F324" i="14"/>
  <c r="E113" i="14"/>
  <c r="F113" i="14"/>
  <c r="C312" i="14"/>
  <c r="F310" i="14"/>
  <c r="E310" i="14"/>
  <c r="C313" i="14"/>
  <c r="E312" i="14"/>
  <c r="F312" i="14"/>
  <c r="F325" i="14"/>
  <c r="E325" i="14"/>
  <c r="E117" i="15"/>
  <c r="C131" i="15"/>
  <c r="E131" i="15"/>
  <c r="C267" i="15"/>
  <c r="E266" i="15"/>
  <c r="C269" i="15"/>
  <c r="E269" i="15"/>
  <c r="C268" i="15"/>
  <c r="E267" i="15"/>
  <c r="C251" i="14"/>
  <c r="C256" i="14"/>
  <c r="C315" i="14"/>
  <c r="E313" i="14"/>
  <c r="F313" i="14"/>
  <c r="C314" i="14"/>
  <c r="C318" i="14"/>
  <c r="E314" i="14"/>
  <c r="F314" i="14"/>
  <c r="E315" i="14"/>
  <c r="F315" i="14"/>
  <c r="C257" i="14"/>
  <c r="F256" i="14"/>
  <c r="E256" i="14"/>
  <c r="F251" i="14"/>
  <c r="E251" i="14"/>
  <c r="C271" i="15"/>
  <c r="E271" i="15"/>
  <c r="E268" i="15"/>
  <c r="F257" i="14"/>
  <c r="E257" i="14"/>
  <c r="F318" i="14"/>
  <c r="E318" i="14"/>
</calcChain>
</file>

<file path=xl/sharedStrings.xml><?xml version="1.0" encoding="utf-8"?>
<sst xmlns="http://schemas.openxmlformats.org/spreadsheetml/2006/main" count="2320" uniqueCount="996">
  <si>
    <t>BRIDGEPORT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</si>
  <si>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</si>
  <si>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</si>
  <si>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</si>
  <si>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</si>
  <si>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</si>
  <si>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</si>
  <si>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</si>
  <si>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</si>
  <si>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</si>
  <si>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</si>
  <si>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</si>
  <si>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</si>
  <si>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</si>
  <si>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</si>
  <si>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</si>
  <si>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</si>
  <si>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</si>
  <si>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</si>
  <si>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</si>
  <si>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</si>
  <si>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</si>
  <si>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</si>
  <si>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</si>
  <si>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</si>
  <si>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</si>
  <si>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</si>
  <si>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</si>
  <si>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</si>
  <si>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</si>
  <si>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</si>
  <si>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</si>
  <si>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</si>
  <si>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</si>
  <si>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</si>
  <si>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</si>
  <si>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</si>
  <si>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</si>
  <si>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</si>
  <si>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</si>
  <si>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</si>
  <si>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</si>
  <si>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</si>
  <si>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</si>
  <si>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</si>
  <si>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</si>
  <si>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</si>
  <si>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</si>
  <si>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</si>
  <si>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</si>
  <si>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</si>
  <si>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</si>
  <si>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</si>
  <si>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</si>
  <si>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</si>
  <si>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</si>
  <si>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</si>
  <si>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</si>
  <si>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</si>
  <si>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</si>
  <si>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</si>
  <si>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</si>
  <si>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</si>
  <si>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</si>
  <si>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</si>
  <si>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</si>
  <si>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</si>
  <si>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</si>
  <si>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</si>
  <si>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</si>
  <si>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</si>
  <si>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</si>
  <si>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</si>
  <si>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</si>
  <si>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</si>
  <si>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</si>
  <si>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</si>
  <si>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</si>
  <si>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</si>
  <si>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</si>
  <si>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</si>
  <si>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</si>
  <si>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</si>
  <si>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</si>
  <si>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</si>
  <si>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</si>
  <si>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</si>
  <si>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</si>
  <si>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</si>
  <si>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</si>
  <si>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</si>
  <si>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</si>
  <si>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</si>
  <si>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</si>
  <si>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</si>
  <si>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</si>
  <si>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</si>
  <si>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</si>
  <si>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</si>
  <si>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</si>
  <si>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</si>
  <si>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</si>
  <si>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</si>
  <si>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</si>
  <si>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</si>
  <si>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</si>
  <si>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</si>
  <si>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</si>
  <si>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</si>
  <si>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</si>
  <si>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</si>
  <si>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</si>
  <si>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</si>
  <si>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</si>
  <si>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</si>
  <si>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</si>
  <si>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</si>
  <si>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</si>
  <si>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</si>
  <si>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</si>
  <si>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</si>
  <si>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</si>
  <si>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</si>
  <si>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</si>
  <si>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</si>
  <si>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</si>
  <si>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</si>
  <si>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</si>
  <si>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</si>
  <si>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</si>
  <si>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</si>
  <si>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</si>
  <si>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</si>
  <si>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</si>
  <si>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</si>
  <si>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</si>
  <si>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</si>
  <si>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</si>
  <si>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</si>
  <si>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</si>
  <si>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</si>
  <si>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</si>
  <si>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</si>
  <si>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</si>
  <si>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</si>
  <si>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</si>
  <si>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</si>
  <si>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</si>
  <si>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</si>
  <si>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</si>
  <si>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</si>
  <si>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</si>
  <si>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</si>
  <si>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</si>
  <si>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</si>
  <si>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</si>
  <si>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</si>
  <si>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</si>
  <si>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</si>
  <si>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</si>
  <si>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</si>
  <si>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</si>
  <si>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</si>
  <si>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</si>
  <si>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</si>
  <si>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</si>
  <si>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</si>
  <si>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</si>
  <si>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</si>
  <si>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</si>
  <si>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</si>
  <si>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</si>
  <si>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</si>
  <si>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</si>
  <si>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</si>
  <si>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</si>
  <si>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</si>
  <si>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</si>
  <si>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</si>
  <si>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</si>
  <si>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</si>
  <si>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</si>
  <si>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</si>
  <si>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</si>
  <si>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</si>
  <si>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</si>
  <si>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</si>
  <si>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</si>
  <si>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</si>
  <si>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</si>
  <si>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</si>
  <si>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</si>
  <si>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</si>
  <si>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</si>
  <si>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</si>
  <si>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</si>
  <si>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</si>
  <si>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</si>
  <si>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</si>
  <si>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</si>
  <si>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</si>
  <si>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</si>
  <si>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</si>
  <si>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</si>
  <si>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</si>
  <si>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</si>
  <si>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</si>
  <si>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</si>
  <si>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</si>
  <si>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</si>
  <si>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</si>
  <si>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</si>
  <si>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</si>
  <si>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</si>
  <si>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</si>
  <si>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</si>
  <si>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</si>
  <si>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</si>
  <si>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</si>
  <si>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</si>
  <si>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</si>
  <si>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</si>
  <si>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</si>
  <si>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</si>
  <si>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</si>
  <si>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</si>
  <si>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</si>
  <si>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</si>
  <si>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</si>
  <si>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</si>
  <si>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</si>
  <si>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</si>
  <si>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</si>
  <si>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</si>
  <si>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</si>
  <si>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</si>
  <si>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</si>
  <si>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</si>
  <si>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</si>
  <si>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</si>
  <si>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</si>
  <si>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</si>
  <si>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</si>
  <si>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</si>
  <si>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</si>
  <si>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</si>
  <si>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</si>
  <si>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</si>
  <si>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</si>
  <si>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</si>
  <si>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</si>
  <si>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</si>
  <si>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</si>
  <si>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</si>
  <si>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</si>
  <si>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</si>
  <si>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</si>
  <si>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</si>
  <si>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</si>
  <si>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</si>
  <si>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</si>
  <si>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</si>
  <si>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</si>
  <si>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</si>
  <si>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</si>
  <si>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</si>
  <si>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</si>
  <si>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</si>
  <si>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</si>
  <si>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</si>
  <si>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</si>
  <si>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</si>
  <si>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</si>
  <si>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</si>
  <si>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</si>
  <si>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</si>
  <si>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</si>
  <si>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</si>
  <si>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</si>
  <si>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</si>
  <si>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</si>
  <si>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</si>
  <si>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</si>
  <si>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</si>
  <si>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</si>
  <si>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</si>
  <si>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</si>
  <si>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</si>
  <si>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</si>
  <si>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</si>
  <si>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</si>
  <si>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</si>
  <si>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</si>
  <si>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</si>
  <si>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</si>
  <si>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</si>
  <si>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</si>
  <si>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</si>
  <si>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</si>
  <si>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</si>
  <si>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</si>
  <si>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</si>
  <si>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</si>
  <si>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</si>
  <si>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</si>
  <si>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</si>
  <si>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</si>
  <si>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</si>
  <si>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</si>
  <si>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</si>
  <si>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</si>
  <si>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</si>
  <si>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</si>
  <si>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</si>
  <si>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</si>
  <si>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</si>
  <si>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</si>
  <si>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</si>
  <si>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</si>
  <si>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</si>
  <si>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</si>
  <si>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</si>
  <si>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</si>
  <si>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</si>
  <si>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</si>
  <si>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</si>
  <si>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</si>
  <si>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</si>
  <si>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</si>
  <si>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</si>
  <si>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</si>
  <si>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</si>
  <si>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</si>
  <si>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</si>
  <si>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</si>
  <si>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</si>
  <si>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</si>
  <si>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</si>
  <si>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</si>
  <si>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</si>
  <si>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</si>
  <si>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</si>
  <si>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</si>
  <si>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</si>
  <si>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</si>
  <si>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</si>
  <si>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</si>
  <si>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</si>
  <si>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</si>
  <si>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</si>
  <si>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</si>
  <si>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</si>
  <si>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</si>
  <si>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</si>
  <si>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</si>
  <si>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</si>
  <si>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</si>
  <si>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</si>
  <si>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</si>
  <si>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</si>
  <si>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</si>
  <si>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</si>
  <si>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</si>
  <si>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</si>
  <si>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</si>
  <si>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</si>
  <si>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</si>
  <si>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</si>
  <si>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</si>
  <si>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</si>
  <si>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</si>
  <si>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</si>
  <si>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</si>
  <si>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</si>
  <si>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</si>
  <si>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</si>
  <si>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</si>
  <si>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</si>
  <si>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</si>
  <si>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</si>
  <si>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</si>
  <si>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</si>
  <si>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</si>
  <si>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</si>
  <si>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</si>
  <si>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</si>
  <si>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</si>
  <si>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</si>
  <si>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</si>
  <si>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</si>
  <si>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</si>
  <si>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</si>
  <si>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</si>
  <si>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</si>
  <si>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</si>
  <si>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</si>
  <si>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</si>
  <si>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</si>
  <si>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</si>
  <si>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</si>
  <si>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</si>
  <si>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</si>
  <si>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</si>
  <si>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</si>
  <si>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</si>
  <si>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</si>
  <si>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</si>
  <si>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</si>
  <si>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</si>
  <si>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</si>
  <si>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</si>
  <si>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</si>
  <si>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</si>
  <si>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</si>
  <si>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</si>
  <si>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</si>
  <si>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</si>
  <si>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</si>
  <si>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</si>
  <si>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</si>
  <si>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</si>
  <si>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</si>
  <si>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</si>
  <si>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</si>
  <si>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</si>
  <si>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</si>
  <si>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</si>
  <si>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</si>
  <si>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</si>
  <si>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</si>
  <si>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</si>
  <si>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</si>
  <si>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</si>
  <si>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</si>
  <si>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</si>
  <si>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</si>
  <si>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</si>
  <si>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</si>
  <si>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</si>
  <si>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</si>
  <si>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</si>
  <si>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</si>
  <si>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</si>
  <si>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</si>
  <si>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</si>
  <si>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</si>
  <si>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</si>
  <si>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</si>
  <si>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</si>
  <si>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</si>
  <si>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</si>
  <si>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</si>
  <si>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</si>
  <si>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</si>
  <si>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</si>
  <si>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</si>
  <si>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</si>
  <si>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</si>
  <si>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</si>
  <si>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</si>
  <si>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</si>
  <si>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</si>
  <si>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</si>
  <si>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</si>
  <si>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</si>
  <si>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</si>
  <si>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</si>
  <si>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</si>
  <si>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</si>
  <si>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</si>
  <si>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</si>
  <si>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</si>
  <si>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</si>
  <si>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</si>
  <si>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</si>
  <si>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</si>
  <si>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</si>
  <si>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</si>
  <si>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</si>
  <si>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</si>
  <si>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</si>
  <si>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</si>
  <si>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</si>
  <si>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</si>
  <si>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</si>
  <si>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</si>
  <si>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</si>
  <si>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</si>
  <si>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</si>
  <si>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</si>
  <si>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</si>
  <si>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BRIDGEPORT HOSPITAL &amp; HEALTHCARE SERVICES,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</si>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</sst>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37123000</v>
      </c>
      <c r="D13" s="23">
        <v>15511000</v>
      </c>
      <c r="E13" s="23">
        <f t="shared" ref="E13:E22" si="0">D13-C13</f>
        <v>-21612000</v>
      </c>
      <c r="F13" s="24">
        <f t="shared" ref="F13:F22" si="1">IF(C13=0,0,E13/C13)</f>
        <v>-0.58217277698461867</v>
      </c>
    </row>
    <row r="14" spans="1:8" ht="24" customHeight="1" x14ac:dyDescent="0.2">
      <c r="A14" s="21">
        <v>2</v>
      </c>
      <c r="B14" s="22" t="s">
        <v>17</v>
      </c>
      <c r="C14" s="23">
        <v>18455000</v>
      </c>
      <c r="D14" s="23">
        <v>41452000</v>
      </c>
      <c r="E14" s="23">
        <f t="shared" si="0"/>
        <v>22997000</v>
      </c>
      <c r="F14" s="24">
        <f t="shared" si="1"/>
        <v>1.2461121647250069</v>
      </c>
    </row>
    <row r="15" spans="1:8" ht="30" customHeight="1" x14ac:dyDescent="0.2">
      <c r="A15" s="21">
        <v>3</v>
      </c>
      <c r="B15" s="22" t="s">
        <v>18</v>
      </c>
      <c r="C15" s="23">
        <v>41819000</v>
      </c>
      <c r="D15" s="23">
        <v>42983000</v>
      </c>
      <c r="E15" s="23">
        <f t="shared" si="0"/>
        <v>1164000</v>
      </c>
      <c r="F15" s="24">
        <f t="shared" si="1"/>
        <v>2.7834238025777756E-2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2403000</v>
      </c>
      <c r="D18" s="23">
        <v>11424000</v>
      </c>
      <c r="E18" s="23">
        <f t="shared" si="0"/>
        <v>9021000</v>
      </c>
      <c r="F18" s="24">
        <f t="shared" si="1"/>
        <v>3.7540574282147317</v>
      </c>
    </row>
    <row r="19" spans="1:11" ht="24" customHeight="1" x14ac:dyDescent="0.2">
      <c r="A19" s="21">
        <v>7</v>
      </c>
      <c r="B19" s="22" t="s">
        <v>22</v>
      </c>
      <c r="C19" s="23">
        <v>3786000</v>
      </c>
      <c r="D19" s="23">
        <v>3618000</v>
      </c>
      <c r="E19" s="23">
        <f t="shared" si="0"/>
        <v>-168000</v>
      </c>
      <c r="F19" s="24">
        <f t="shared" si="1"/>
        <v>-4.4374009508716325E-2</v>
      </c>
    </row>
    <row r="20" spans="1:11" ht="24" customHeight="1" x14ac:dyDescent="0.2">
      <c r="A20" s="21">
        <v>8</v>
      </c>
      <c r="B20" s="22" t="s">
        <v>23</v>
      </c>
      <c r="C20" s="23">
        <v>2516000</v>
      </c>
      <c r="D20" s="23">
        <v>4453000</v>
      </c>
      <c r="E20" s="23">
        <f t="shared" si="0"/>
        <v>1937000</v>
      </c>
      <c r="F20" s="24">
        <f t="shared" si="1"/>
        <v>0.76987281399046104</v>
      </c>
    </row>
    <row r="21" spans="1:11" ht="24" customHeight="1" x14ac:dyDescent="0.2">
      <c r="A21" s="21">
        <v>9</v>
      </c>
      <c r="B21" s="22" t="s">
        <v>24</v>
      </c>
      <c r="C21" s="23">
        <v>5701000</v>
      </c>
      <c r="D21" s="23">
        <v>9585000</v>
      </c>
      <c r="E21" s="23">
        <f t="shared" si="0"/>
        <v>3884000</v>
      </c>
      <c r="F21" s="24">
        <f t="shared" si="1"/>
        <v>0.68128398526574285</v>
      </c>
    </row>
    <row r="22" spans="1:11" ht="24" customHeight="1" x14ac:dyDescent="0.25">
      <c r="A22" s="25"/>
      <c r="B22" s="26" t="s">
        <v>25</v>
      </c>
      <c r="C22" s="27">
        <f>SUM(C13:C21)</f>
        <v>111803000</v>
      </c>
      <c r="D22" s="27">
        <f>SUM(D13:D21)</f>
        <v>129026000</v>
      </c>
      <c r="E22" s="27">
        <f t="shared" si="0"/>
        <v>17223000</v>
      </c>
      <c r="F22" s="28">
        <f t="shared" si="1"/>
        <v>0.15404774469379176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5788000</v>
      </c>
      <c r="D27" s="23">
        <v>0</v>
      </c>
      <c r="E27" s="23">
        <f>D27-C27</f>
        <v>-5788000</v>
      </c>
      <c r="F27" s="24">
        <f>IF(C27=0,0,E27/C27)</f>
        <v>-1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5788000</v>
      </c>
      <c r="D29" s="27">
        <f>SUM(D25:D28)</f>
        <v>0</v>
      </c>
      <c r="E29" s="27">
        <f>D29-C29</f>
        <v>-5788000</v>
      </c>
      <c r="F29" s="28">
        <f>IF(C29=0,0,E29/C29)</f>
        <v>-1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48588000</v>
      </c>
      <c r="D31" s="23">
        <v>55179000</v>
      </c>
      <c r="E31" s="23">
        <f>D31-C31</f>
        <v>6591000</v>
      </c>
      <c r="F31" s="24">
        <f>IF(C31=0,0,E31/C31)</f>
        <v>0.1356507779698691</v>
      </c>
    </row>
    <row r="32" spans="1:11" ht="24" customHeight="1" x14ac:dyDescent="0.2">
      <c r="A32" s="21">
        <v>6</v>
      </c>
      <c r="B32" s="22" t="s">
        <v>34</v>
      </c>
      <c r="C32" s="23">
        <v>20685000</v>
      </c>
      <c r="D32" s="23">
        <v>21778000</v>
      </c>
      <c r="E32" s="23">
        <f>D32-C32</f>
        <v>1093000</v>
      </c>
      <c r="F32" s="24">
        <f>IF(C32=0,0,E32/C32)</f>
        <v>5.2840222383369592E-2</v>
      </c>
    </row>
    <row r="33" spans="1:8" ht="24" customHeight="1" x14ac:dyDescent="0.2">
      <c r="A33" s="21">
        <v>7</v>
      </c>
      <c r="B33" s="22" t="s">
        <v>35</v>
      </c>
      <c r="C33" s="23">
        <v>17502000</v>
      </c>
      <c r="D33" s="23">
        <v>55865000</v>
      </c>
      <c r="E33" s="23">
        <f>D33-C33</f>
        <v>38363000</v>
      </c>
      <c r="F33" s="24">
        <f>IF(C33=0,0,E33/C33)</f>
        <v>2.1919209233230488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370486000</v>
      </c>
      <c r="D36" s="23">
        <v>394494000</v>
      </c>
      <c r="E36" s="23">
        <f>D36-C36</f>
        <v>24008000</v>
      </c>
      <c r="F36" s="24">
        <f>IF(C36=0,0,E36/C36)</f>
        <v>6.480136901259427E-2</v>
      </c>
    </row>
    <row r="37" spans="1:8" ht="24" customHeight="1" x14ac:dyDescent="0.2">
      <c r="A37" s="21">
        <v>2</v>
      </c>
      <c r="B37" s="22" t="s">
        <v>39</v>
      </c>
      <c r="C37" s="23">
        <v>264952000</v>
      </c>
      <c r="D37" s="23">
        <v>283721000</v>
      </c>
      <c r="E37" s="23">
        <f>D37-C37</f>
        <v>18769000</v>
      </c>
      <c r="F37" s="24">
        <f>IF(C37=0,0,E37/C37)</f>
        <v>7.0839246354056584E-2</v>
      </c>
    </row>
    <row r="38" spans="1:8" ht="24" customHeight="1" x14ac:dyDescent="0.25">
      <c r="A38" s="25"/>
      <c r="B38" s="26" t="s">
        <v>40</v>
      </c>
      <c r="C38" s="27">
        <f>C36-C37</f>
        <v>105534000</v>
      </c>
      <c r="D38" s="27">
        <f>D36-D37</f>
        <v>110773000</v>
      </c>
      <c r="E38" s="27">
        <f>D38-C38</f>
        <v>5239000</v>
      </c>
      <c r="F38" s="28">
        <f>IF(C38=0,0,E38/C38)</f>
        <v>4.9642769154964274E-2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18530000</v>
      </c>
      <c r="D40" s="23">
        <v>17163000</v>
      </c>
      <c r="E40" s="23">
        <f>D40-C40</f>
        <v>-1367000</v>
      </c>
      <c r="F40" s="24">
        <f>IF(C40=0,0,E40/C40)</f>
        <v>-7.3772261198057201E-2</v>
      </c>
    </row>
    <row r="41" spans="1:8" ht="24" customHeight="1" x14ac:dyDescent="0.25">
      <c r="A41" s="25"/>
      <c r="B41" s="26" t="s">
        <v>42</v>
      </c>
      <c r="C41" s="27">
        <f>+C38+C40</f>
        <v>124064000</v>
      </c>
      <c r="D41" s="27">
        <f>+D38+D40</f>
        <v>127936000</v>
      </c>
      <c r="E41" s="27">
        <f>D41-C41</f>
        <v>3872000</v>
      </c>
      <c r="F41" s="28">
        <f>IF(C41=0,0,E41/C41)</f>
        <v>3.1209698220273408E-2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328430000</v>
      </c>
      <c r="D43" s="27">
        <f>D22+D29+D31+D32+D33+D41</f>
        <v>389784000</v>
      </c>
      <c r="E43" s="27">
        <f>D43-C43</f>
        <v>61354000</v>
      </c>
      <c r="F43" s="28">
        <f>IF(C43=0,0,E43/C43)</f>
        <v>0.18680997472825259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13294000</v>
      </c>
      <c r="D49" s="23">
        <v>10208000</v>
      </c>
      <c r="E49" s="23">
        <f t="shared" ref="E49:E56" si="2">D49-C49</f>
        <v>-3086000</v>
      </c>
      <c r="F49" s="24">
        <f t="shared" ref="F49:F56" si="3">IF(C49=0,0,E49/C49)</f>
        <v>-0.23213479765307657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41298000</v>
      </c>
      <c r="D50" s="23">
        <v>48554000</v>
      </c>
      <c r="E50" s="23">
        <f t="shared" si="2"/>
        <v>7256000</v>
      </c>
      <c r="F50" s="24">
        <f t="shared" si="3"/>
        <v>0.17569858104508693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3987000</v>
      </c>
      <c r="D51" s="23">
        <v>11424000</v>
      </c>
      <c r="E51" s="23">
        <f t="shared" si="2"/>
        <v>7437000</v>
      </c>
      <c r="F51" s="24">
        <f t="shared" si="3"/>
        <v>1.8653122648607976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3832000</v>
      </c>
      <c r="D53" s="23">
        <v>3809000</v>
      </c>
      <c r="E53" s="23">
        <f t="shared" si="2"/>
        <v>-23000</v>
      </c>
      <c r="F53" s="24">
        <f t="shared" si="3"/>
        <v>-6.0020876826722335E-3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6775000</v>
      </c>
      <c r="E55" s="23">
        <f t="shared" si="2"/>
        <v>6775000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62411000</v>
      </c>
      <c r="D56" s="27">
        <f>SUM(D49:D55)</f>
        <v>80770000</v>
      </c>
      <c r="E56" s="27">
        <f t="shared" si="2"/>
        <v>18359000</v>
      </c>
      <c r="F56" s="28">
        <f t="shared" si="3"/>
        <v>0.29416288795244427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49757000</v>
      </c>
      <c r="D59" s="23">
        <v>47436000</v>
      </c>
      <c r="E59" s="23">
        <f>D59-C59</f>
        <v>-2321000</v>
      </c>
      <c r="F59" s="24">
        <f>IF(C59=0,0,E59/C59)</f>
        <v>-4.6646702976465622E-2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49757000</v>
      </c>
      <c r="D61" s="27">
        <f>SUM(D59:D60)</f>
        <v>47436000</v>
      </c>
      <c r="E61" s="27">
        <f>D61-C61</f>
        <v>-2321000</v>
      </c>
      <c r="F61" s="28">
        <f>IF(C61=0,0,E61/C61)</f>
        <v>-4.6646702976465622E-2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51983000</v>
      </c>
      <c r="D63" s="23">
        <v>60816000</v>
      </c>
      <c r="E63" s="23">
        <f>D63-C63</f>
        <v>8833000</v>
      </c>
      <c r="F63" s="24">
        <f>IF(C63=0,0,E63/C63)</f>
        <v>0.1699209356905142</v>
      </c>
    </row>
    <row r="64" spans="1:6" ht="24" customHeight="1" x14ac:dyDescent="0.2">
      <c r="A64" s="21">
        <v>4</v>
      </c>
      <c r="B64" s="22" t="s">
        <v>60</v>
      </c>
      <c r="C64" s="23">
        <v>45465000</v>
      </c>
      <c r="D64" s="23">
        <v>77504000</v>
      </c>
      <c r="E64" s="23">
        <f>D64-C64</f>
        <v>32039000</v>
      </c>
      <c r="F64" s="24">
        <f>IF(C64=0,0,E64/C64)</f>
        <v>0.70469591993841418</v>
      </c>
    </row>
    <row r="65" spans="1:6" ht="24" customHeight="1" x14ac:dyDescent="0.25">
      <c r="A65" s="25"/>
      <c r="B65" s="26" t="s">
        <v>61</v>
      </c>
      <c r="C65" s="27">
        <f>SUM(C61:C64)</f>
        <v>147205000</v>
      </c>
      <c r="D65" s="27">
        <f>SUM(D61:D64)</f>
        <v>185756000</v>
      </c>
      <c r="E65" s="27">
        <f>D65-C65</f>
        <v>38551000</v>
      </c>
      <c r="F65" s="28">
        <f>IF(C65=0,0,E65/C65)</f>
        <v>0.26188648483407495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74736000</v>
      </c>
      <c r="D70" s="23">
        <v>74554000</v>
      </c>
      <c r="E70" s="23">
        <f>D70-C70</f>
        <v>-182000</v>
      </c>
      <c r="F70" s="24">
        <f>IF(C70=0,0,E70/C70)</f>
        <v>-2.4352387069150076E-3</v>
      </c>
    </row>
    <row r="71" spans="1:6" ht="24" customHeight="1" x14ac:dyDescent="0.2">
      <c r="A71" s="21">
        <v>2</v>
      </c>
      <c r="B71" s="22" t="s">
        <v>65</v>
      </c>
      <c r="C71" s="23">
        <v>24997000</v>
      </c>
      <c r="D71" s="23">
        <v>28832000</v>
      </c>
      <c r="E71" s="23">
        <f>D71-C71</f>
        <v>3835000</v>
      </c>
      <c r="F71" s="24">
        <f>IF(C71=0,0,E71/C71)</f>
        <v>0.15341841020922511</v>
      </c>
    </row>
    <row r="72" spans="1:6" ht="24" customHeight="1" x14ac:dyDescent="0.2">
      <c r="A72" s="21">
        <v>3</v>
      </c>
      <c r="B72" s="22" t="s">
        <v>66</v>
      </c>
      <c r="C72" s="23">
        <v>19081000</v>
      </c>
      <c r="D72" s="23">
        <v>19872000</v>
      </c>
      <c r="E72" s="23">
        <f>D72-C72</f>
        <v>791000</v>
      </c>
      <c r="F72" s="24">
        <f>IF(C72=0,0,E72/C72)</f>
        <v>4.1454850374718306E-2</v>
      </c>
    </row>
    <row r="73" spans="1:6" ht="24" customHeight="1" x14ac:dyDescent="0.25">
      <c r="A73" s="21"/>
      <c r="B73" s="26" t="s">
        <v>67</v>
      </c>
      <c r="C73" s="27">
        <f>SUM(C70:C72)</f>
        <v>118814000</v>
      </c>
      <c r="D73" s="27">
        <f>SUM(D70:D72)</f>
        <v>123258000</v>
      </c>
      <c r="E73" s="27">
        <f>D73-C73</f>
        <v>4444000</v>
      </c>
      <c r="F73" s="28">
        <f>IF(C73=0,0,E73/C73)</f>
        <v>3.7402999646506306E-2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328430000</v>
      </c>
      <c r="D75" s="27">
        <f>D56+D65+D67+D73</f>
        <v>389784000</v>
      </c>
      <c r="E75" s="27">
        <f>D75-C75</f>
        <v>61354000</v>
      </c>
      <c r="F75" s="28">
        <f>IF(C75=0,0,E75/C75)</f>
        <v>0.18680997472825259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369432000</v>
      </c>
      <c r="D11" s="51">
        <v>409615000</v>
      </c>
      <c r="E11" s="51">
        <v>420616000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10581000</v>
      </c>
      <c r="D12" s="49">
        <v>10881000</v>
      </c>
      <c r="E12" s="49">
        <v>19050000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380013000</v>
      </c>
      <c r="D13" s="51">
        <f>+D11+D12</f>
        <v>420496000</v>
      </c>
      <c r="E13" s="51">
        <f>+E11+E12</f>
        <v>439666000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365999000</v>
      </c>
      <c r="D14" s="49">
        <v>393525000</v>
      </c>
      <c r="E14" s="49">
        <v>420298000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14014000</v>
      </c>
      <c r="D15" s="51">
        <f>+D13-D14</f>
        <v>26971000</v>
      </c>
      <c r="E15" s="51">
        <f>+E13-E14</f>
        <v>19368000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1766000</v>
      </c>
      <c r="D16" s="49">
        <v>-38000</v>
      </c>
      <c r="E16" s="49">
        <v>2164000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15780000</v>
      </c>
      <c r="D17" s="51">
        <f>D15+D16</f>
        <v>26933000</v>
      </c>
      <c r="E17" s="51">
        <f>E15+E16</f>
        <v>21532000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3.6707100180994767E-2</v>
      </c>
      <c r="D20" s="169">
        <f>IF(+D27=0,0,+D24/+D27)</f>
        <v>6.414671619995338E-2</v>
      </c>
      <c r="E20" s="169">
        <f>IF(+E27=0,0,+E24/+E27)</f>
        <v>4.383586447276102E-2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4.6257127814782898E-3</v>
      </c>
      <c r="D21" s="169">
        <f>IF(+D27=0,0,+D26/+D27)</f>
        <v>-9.0377635816181408E-5</v>
      </c>
      <c r="E21" s="169">
        <f>IF(+E27=0,0,+E26/+E27)</f>
        <v>4.8978113754158843E-3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4.1332812962473056E-2</v>
      </c>
      <c r="D22" s="169">
        <f>IF(+D27=0,0,+D28/+D27)</f>
        <v>6.40563385641372E-2</v>
      </c>
      <c r="E22" s="169">
        <f>IF(+E27=0,0,+E28/+E27)</f>
        <v>4.8733675848176901E-2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14014000</v>
      </c>
      <c r="D24" s="51">
        <f>+D15</f>
        <v>26971000</v>
      </c>
      <c r="E24" s="51">
        <f>+E15</f>
        <v>19368000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380013000</v>
      </c>
      <c r="D25" s="51">
        <f>+D13</f>
        <v>420496000</v>
      </c>
      <c r="E25" s="51">
        <f>+E13</f>
        <v>439666000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1766000</v>
      </c>
      <c r="D26" s="51">
        <f>+D16</f>
        <v>-38000</v>
      </c>
      <c r="E26" s="51">
        <f>+E16</f>
        <v>2164000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381779000</v>
      </c>
      <c r="D27" s="51">
        <f>SUM(D25:D26)</f>
        <v>420458000</v>
      </c>
      <c r="E27" s="51">
        <f>SUM(E25:E26)</f>
        <v>441830000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15780000</v>
      </c>
      <c r="D28" s="51">
        <f>+D17</f>
        <v>26933000</v>
      </c>
      <c r="E28" s="51">
        <f>+E17</f>
        <v>21532000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60022000</v>
      </c>
      <c r="D31" s="51">
        <v>72064000</v>
      </c>
      <c r="E31" s="52">
        <v>72028000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100592000</v>
      </c>
      <c r="D32" s="51">
        <v>116142000</v>
      </c>
      <c r="E32" s="51">
        <v>120732000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13901000</v>
      </c>
      <c r="D33" s="51">
        <f>+D32-C32</f>
        <v>15550000</v>
      </c>
      <c r="E33" s="51">
        <f>+E32-D32</f>
        <v>4590000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1.1603000000000001</v>
      </c>
      <c r="D34" s="171">
        <f>IF(C32=0,0,+D33/C32)</f>
        <v>0.1545848576427549</v>
      </c>
      <c r="E34" s="171">
        <f>IF(D32=0,0,+E33/D32)</f>
        <v>3.9520586867799759E-2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2.4640233819174711</v>
      </c>
      <c r="D38" s="269">
        <f>IF(+D40=0,0,+D39/+D40)</f>
        <v>2.240231666530712</v>
      </c>
      <c r="E38" s="269">
        <f>IF(+E40=0,0,+E39/+E40)</f>
        <v>1.994556198139301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128144000</v>
      </c>
      <c r="D39" s="270">
        <v>137315000</v>
      </c>
      <c r="E39" s="270">
        <v>158647000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52006000</v>
      </c>
      <c r="D40" s="270">
        <v>61295000</v>
      </c>
      <c r="E40" s="270">
        <v>79540000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91.804488919918285</v>
      </c>
      <c r="D42" s="271">
        <f>IF((D48/365)=0,0,+D45/(D48/365))</f>
        <v>78.858768585182972</v>
      </c>
      <c r="E42" s="271">
        <f>IF((E48/365)=0,0,+E45/(E48/365))</f>
        <v>78.153874995313259</v>
      </c>
    </row>
    <row r="43" spans="1:14" ht="24" customHeight="1" x14ac:dyDescent="0.2">
      <c r="A43" s="17">
        <v>5</v>
      </c>
      <c r="B43" s="188" t="s">
        <v>16</v>
      </c>
      <c r="C43" s="272">
        <v>45152000</v>
      </c>
      <c r="D43" s="272">
        <v>37449000</v>
      </c>
      <c r="E43" s="272">
        <v>16072000</v>
      </c>
    </row>
    <row r="44" spans="1:14" ht="24" customHeight="1" x14ac:dyDescent="0.2">
      <c r="A44" s="17">
        <v>6</v>
      </c>
      <c r="B44" s="273" t="s">
        <v>17</v>
      </c>
      <c r="C44" s="274">
        <v>42391000</v>
      </c>
      <c r="D44" s="274">
        <v>43693000</v>
      </c>
      <c r="E44" s="274">
        <v>69590000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87543000</v>
      </c>
      <c r="D45" s="270">
        <f>+D43+D44</f>
        <v>81142000</v>
      </c>
      <c r="E45" s="270">
        <f>+E43+E44</f>
        <v>85662000</v>
      </c>
    </row>
    <row r="46" spans="1:14" ht="24" customHeight="1" x14ac:dyDescent="0.2">
      <c r="A46" s="17">
        <v>8</v>
      </c>
      <c r="B46" s="45" t="s">
        <v>336</v>
      </c>
      <c r="C46" s="270">
        <f>+C14</f>
        <v>365999000</v>
      </c>
      <c r="D46" s="270">
        <f>+D14</f>
        <v>393525000</v>
      </c>
      <c r="E46" s="270">
        <f>+E14</f>
        <v>420298000</v>
      </c>
    </row>
    <row r="47" spans="1:14" ht="24" customHeight="1" x14ac:dyDescent="0.2">
      <c r="A47" s="17">
        <v>9</v>
      </c>
      <c r="B47" s="45" t="s">
        <v>359</v>
      </c>
      <c r="C47" s="270">
        <v>17942000</v>
      </c>
      <c r="D47" s="270">
        <v>17957000</v>
      </c>
      <c r="E47" s="270">
        <v>20233000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348057000</v>
      </c>
      <c r="D48" s="270">
        <f>+D46-D47</f>
        <v>375568000</v>
      </c>
      <c r="E48" s="270">
        <f>+E46-E47</f>
        <v>400065000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27.364724766668832</v>
      </c>
      <c r="D50" s="278">
        <f>IF((D55/365)=0,0,+D54/(D55/365))</f>
        <v>35.852629908572688</v>
      </c>
      <c r="E50" s="278">
        <f>IF((E55/365)=0,0,+E54/(E55/365))</f>
        <v>37.299567776784528</v>
      </c>
    </row>
    <row r="51" spans="1:5" ht="24" customHeight="1" x14ac:dyDescent="0.2">
      <c r="A51" s="17">
        <v>12</v>
      </c>
      <c r="B51" s="188" t="s">
        <v>362</v>
      </c>
      <c r="C51" s="279">
        <v>29146000</v>
      </c>
      <c r="D51" s="279">
        <v>41819000</v>
      </c>
      <c r="E51" s="279">
        <v>42983000</v>
      </c>
    </row>
    <row r="52" spans="1:5" ht="24" customHeight="1" x14ac:dyDescent="0.2">
      <c r="A52" s="17">
        <v>13</v>
      </c>
      <c r="B52" s="188" t="s">
        <v>21</v>
      </c>
      <c r="C52" s="270">
        <v>1411000</v>
      </c>
      <c r="D52" s="270">
        <v>2403000</v>
      </c>
      <c r="E52" s="270">
        <v>11424000</v>
      </c>
    </row>
    <row r="53" spans="1:5" ht="24" customHeight="1" x14ac:dyDescent="0.2">
      <c r="A53" s="17">
        <v>14</v>
      </c>
      <c r="B53" s="188" t="s">
        <v>49</v>
      </c>
      <c r="C53" s="270">
        <v>2860000</v>
      </c>
      <c r="D53" s="270">
        <v>3987000</v>
      </c>
      <c r="E53" s="270">
        <v>11424000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27697000</v>
      </c>
      <c r="D54" s="280">
        <f>+D51+D52-D53</f>
        <v>40235000</v>
      </c>
      <c r="E54" s="280">
        <f>+E51+E52-E53</f>
        <v>42983000</v>
      </c>
    </row>
    <row r="55" spans="1:5" ht="24" customHeight="1" x14ac:dyDescent="0.2">
      <c r="A55" s="17">
        <v>16</v>
      </c>
      <c r="B55" s="45" t="s">
        <v>75</v>
      </c>
      <c r="C55" s="270">
        <f>+C11</f>
        <v>369432000</v>
      </c>
      <c r="D55" s="270">
        <f>+D11</f>
        <v>409615000</v>
      </c>
      <c r="E55" s="270">
        <f>+E11</f>
        <v>420616000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54.537590107367471</v>
      </c>
      <c r="D57" s="283">
        <f>IF((D61/365)=0,0,+D58/(D61/365))</f>
        <v>59.570237613428198</v>
      </c>
      <c r="E57" s="283">
        <f>IF((E61/365)=0,0,+E58/(E61/365))</f>
        <v>72.56845762563583</v>
      </c>
    </row>
    <row r="58" spans="1:5" ht="24" customHeight="1" x14ac:dyDescent="0.2">
      <c r="A58" s="17">
        <v>18</v>
      </c>
      <c r="B58" s="45" t="s">
        <v>54</v>
      </c>
      <c r="C58" s="281">
        <f>+C40</f>
        <v>52006000</v>
      </c>
      <c r="D58" s="281">
        <f>+D40</f>
        <v>61295000</v>
      </c>
      <c r="E58" s="281">
        <f>+E40</f>
        <v>79540000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365999000</v>
      </c>
      <c r="D59" s="281">
        <f t="shared" si="0"/>
        <v>393525000</v>
      </c>
      <c r="E59" s="281">
        <f t="shared" si="0"/>
        <v>420298000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17942000</v>
      </c>
      <c r="D60" s="176">
        <f t="shared" si="0"/>
        <v>17957000</v>
      </c>
      <c r="E60" s="176">
        <f t="shared" si="0"/>
        <v>20233000</v>
      </c>
    </row>
    <row r="61" spans="1:5" ht="24" customHeight="1" x14ac:dyDescent="0.2">
      <c r="A61" s="17">
        <v>21</v>
      </c>
      <c r="B61" s="45" t="s">
        <v>365</v>
      </c>
      <c r="C61" s="281">
        <f>+C59-C60</f>
        <v>348057000</v>
      </c>
      <c r="D61" s="281">
        <f>+D59-D60</f>
        <v>375568000</v>
      </c>
      <c r="E61" s="281">
        <f>+E59-E60</f>
        <v>400065000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33.223460402808698</v>
      </c>
      <c r="D65" s="284">
        <f>IF(D67=0,0,(D66/D67)*100)</f>
        <v>35.063111910807066</v>
      </c>
      <c r="E65" s="284">
        <f>IF(E67=0,0,(E66/E67)*100)</f>
        <v>30.74909076090832</v>
      </c>
    </row>
    <row r="66" spans="1:5" ht="24" customHeight="1" x14ac:dyDescent="0.2">
      <c r="A66" s="17">
        <v>2</v>
      </c>
      <c r="B66" s="45" t="s">
        <v>67</v>
      </c>
      <c r="C66" s="281">
        <f>+C32</f>
        <v>100592000</v>
      </c>
      <c r="D66" s="281">
        <f>+D32</f>
        <v>116142000</v>
      </c>
      <c r="E66" s="281">
        <f>+E32</f>
        <v>120732000</v>
      </c>
    </row>
    <row r="67" spans="1:5" ht="24" customHeight="1" x14ac:dyDescent="0.2">
      <c r="A67" s="17">
        <v>3</v>
      </c>
      <c r="B67" s="45" t="s">
        <v>43</v>
      </c>
      <c r="C67" s="281">
        <v>302774000</v>
      </c>
      <c r="D67" s="281">
        <v>331237000</v>
      </c>
      <c r="E67" s="281">
        <v>392636000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34.010751278353219</v>
      </c>
      <c r="D69" s="284">
        <f>IF(D75=0,0,(D72/D75)*100)</f>
        <v>40.422504772538993</v>
      </c>
      <c r="E69" s="284">
        <f>IF(E75=0,0,(E72/E75)*100)</f>
        <v>32.892042590725808</v>
      </c>
    </row>
    <row r="70" spans="1:5" ht="24" customHeight="1" x14ac:dyDescent="0.2">
      <c r="A70" s="17">
        <v>5</v>
      </c>
      <c r="B70" s="45" t="s">
        <v>370</v>
      </c>
      <c r="C70" s="281">
        <f>+C28</f>
        <v>15780000</v>
      </c>
      <c r="D70" s="281">
        <f>+D28</f>
        <v>26933000</v>
      </c>
      <c r="E70" s="281">
        <f>+E28</f>
        <v>21532000</v>
      </c>
    </row>
    <row r="71" spans="1:5" ht="24" customHeight="1" x14ac:dyDescent="0.2">
      <c r="A71" s="17">
        <v>6</v>
      </c>
      <c r="B71" s="45" t="s">
        <v>359</v>
      </c>
      <c r="C71" s="176">
        <f>+C47</f>
        <v>17942000</v>
      </c>
      <c r="D71" s="176">
        <f>+D47</f>
        <v>17957000</v>
      </c>
      <c r="E71" s="176">
        <f>+E47</f>
        <v>20233000</v>
      </c>
    </row>
    <row r="72" spans="1:5" ht="24" customHeight="1" x14ac:dyDescent="0.2">
      <c r="A72" s="17">
        <v>7</v>
      </c>
      <c r="B72" s="45" t="s">
        <v>371</v>
      </c>
      <c r="C72" s="281">
        <f>+C70+C71</f>
        <v>33722000</v>
      </c>
      <c r="D72" s="281">
        <f>+D70+D71</f>
        <v>44890000</v>
      </c>
      <c r="E72" s="281">
        <f>+E70+E71</f>
        <v>41765000</v>
      </c>
    </row>
    <row r="73" spans="1:5" ht="24" customHeight="1" x14ac:dyDescent="0.2">
      <c r="A73" s="17">
        <v>8</v>
      </c>
      <c r="B73" s="45" t="s">
        <v>54</v>
      </c>
      <c r="C73" s="270">
        <f>+C40</f>
        <v>52006000</v>
      </c>
      <c r="D73" s="270">
        <f>+D40</f>
        <v>61295000</v>
      </c>
      <c r="E73" s="270">
        <f>+E40</f>
        <v>79540000</v>
      </c>
    </row>
    <row r="74" spans="1:5" ht="24" customHeight="1" x14ac:dyDescent="0.2">
      <c r="A74" s="17">
        <v>9</v>
      </c>
      <c r="B74" s="45" t="s">
        <v>58</v>
      </c>
      <c r="C74" s="281">
        <v>47145000</v>
      </c>
      <c r="D74" s="281">
        <v>49757000</v>
      </c>
      <c r="E74" s="281">
        <v>47436000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99151000</v>
      </c>
      <c r="D75" s="270">
        <f>+D73+D74</f>
        <v>111052000</v>
      </c>
      <c r="E75" s="270">
        <f>+E73+E74</f>
        <v>126976000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31.911437216134075</v>
      </c>
      <c r="D77" s="286">
        <f>IF(D80=0,0,(D78/D80)*100)</f>
        <v>29.99234473987185</v>
      </c>
      <c r="E77" s="286">
        <f>IF(E80=0,0,(E78/E80)*100)</f>
        <v>28.207506778935347</v>
      </c>
    </row>
    <row r="78" spans="1:5" ht="24" customHeight="1" x14ac:dyDescent="0.2">
      <c r="A78" s="17">
        <v>12</v>
      </c>
      <c r="B78" s="45" t="s">
        <v>58</v>
      </c>
      <c r="C78" s="270">
        <f>+C74</f>
        <v>47145000</v>
      </c>
      <c r="D78" s="270">
        <f>+D74</f>
        <v>49757000</v>
      </c>
      <c r="E78" s="270">
        <f>+E74</f>
        <v>47436000</v>
      </c>
    </row>
    <row r="79" spans="1:5" ht="24" customHeight="1" x14ac:dyDescent="0.2">
      <c r="A79" s="17">
        <v>13</v>
      </c>
      <c r="B79" s="45" t="s">
        <v>67</v>
      </c>
      <c r="C79" s="270">
        <f>+C32</f>
        <v>100592000</v>
      </c>
      <c r="D79" s="270">
        <f>+D32</f>
        <v>116142000</v>
      </c>
      <c r="E79" s="270">
        <f>+E32</f>
        <v>120732000</v>
      </c>
    </row>
    <row r="80" spans="1:5" ht="24" customHeight="1" x14ac:dyDescent="0.2">
      <c r="A80" s="17">
        <v>14</v>
      </c>
      <c r="B80" s="45" t="s">
        <v>374</v>
      </c>
      <c r="C80" s="270">
        <f>+C78+C79</f>
        <v>147737000</v>
      </c>
      <c r="D80" s="270">
        <f>+D78+D79</f>
        <v>165899000</v>
      </c>
      <c r="E80" s="270">
        <f>+E78+E79</f>
        <v>168168000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FILING&amp;R&amp;8BRIDGEPORT HOSPITAL &amp;AMP; HEALTHCARE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67560</v>
      </c>
      <c r="D11" s="296">
        <v>12385</v>
      </c>
      <c r="E11" s="296">
        <v>12622</v>
      </c>
      <c r="F11" s="297">
        <v>186</v>
      </c>
      <c r="G11" s="297">
        <v>222</v>
      </c>
      <c r="H11" s="298">
        <f>IF(F11=0,0,$C11/(F11*365))</f>
        <v>0.9951391957578436</v>
      </c>
      <c r="I11" s="298">
        <f>IF(G11=0,0,$C11/(G11*365))</f>
        <v>0.83376527212143647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6623</v>
      </c>
      <c r="D13" s="296">
        <v>381</v>
      </c>
      <c r="E13" s="296">
        <v>0</v>
      </c>
      <c r="F13" s="297">
        <v>19</v>
      </c>
      <c r="G13" s="297">
        <v>33</v>
      </c>
      <c r="H13" s="298">
        <f>IF(F13=0,0,$C13/(F13*365))</f>
        <v>0.95501081470800286</v>
      </c>
      <c r="I13" s="298">
        <f>IF(G13=0,0,$C13/(G13*365))</f>
        <v>0.54985471149854714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5965</v>
      </c>
      <c r="D16" s="296">
        <v>732</v>
      </c>
      <c r="E16" s="296">
        <v>732</v>
      </c>
      <c r="F16" s="297">
        <v>17</v>
      </c>
      <c r="G16" s="297">
        <v>19</v>
      </c>
      <c r="H16" s="298">
        <f t="shared" si="0"/>
        <v>0.96132151490733275</v>
      </c>
      <c r="I16" s="298">
        <f t="shared" si="0"/>
        <v>0.86012977649603461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5965</v>
      </c>
      <c r="D17" s="300">
        <f>SUM(D15:D16)</f>
        <v>732</v>
      </c>
      <c r="E17" s="300">
        <f>SUM(E15:E16)</f>
        <v>732</v>
      </c>
      <c r="F17" s="300">
        <f>SUM(F15:F16)</f>
        <v>17</v>
      </c>
      <c r="G17" s="300">
        <f>SUM(G15:G16)</f>
        <v>19</v>
      </c>
      <c r="H17" s="301">
        <f t="shared" si="0"/>
        <v>0.96132151490733275</v>
      </c>
      <c r="I17" s="301">
        <f t="shared" si="0"/>
        <v>0.86012977649603461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5320</v>
      </c>
      <c r="D19" s="296">
        <v>383</v>
      </c>
      <c r="E19" s="296">
        <v>383</v>
      </c>
      <c r="F19" s="297">
        <v>15</v>
      </c>
      <c r="G19" s="297">
        <v>18</v>
      </c>
      <c r="H19" s="298">
        <f>IF(F19=0,0,$C19/(F19*365))</f>
        <v>0.97168949771689495</v>
      </c>
      <c r="I19" s="298">
        <f>IF(G19=0,0,$C19/(G19*365))</f>
        <v>0.80974124809741244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8376</v>
      </c>
      <c r="D21" s="296">
        <v>2905</v>
      </c>
      <c r="E21" s="296">
        <v>2905</v>
      </c>
      <c r="F21" s="297">
        <v>23</v>
      </c>
      <c r="G21" s="297">
        <v>42</v>
      </c>
      <c r="H21" s="298">
        <f>IF(F21=0,0,$C21/(F21*365))</f>
        <v>0.997736748064324</v>
      </c>
      <c r="I21" s="298">
        <f>IF(G21=0,0,$C21/(G21*365))</f>
        <v>0.54637964774951076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4956</v>
      </c>
      <c r="D23" s="296">
        <v>2042</v>
      </c>
      <c r="E23" s="296">
        <v>2042</v>
      </c>
      <c r="F23" s="297">
        <v>14</v>
      </c>
      <c r="G23" s="297">
        <v>24</v>
      </c>
      <c r="H23" s="298">
        <f>IF(F23=0,0,$C23/(F23*365))</f>
        <v>0.96986301369863015</v>
      </c>
      <c r="I23" s="298">
        <f>IF(G23=0,0,$C23/(G23*365))</f>
        <v>0.5657534246575342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1202</v>
      </c>
      <c r="D25" s="296">
        <v>83</v>
      </c>
      <c r="E25" s="296">
        <v>0</v>
      </c>
      <c r="F25" s="297">
        <v>4</v>
      </c>
      <c r="G25" s="297">
        <v>7</v>
      </c>
      <c r="H25" s="298">
        <f>IF(F25=0,0,$C25/(F25*365))</f>
        <v>0.82328767123287672</v>
      </c>
      <c r="I25" s="298">
        <f>IF(G25=0,0,$C25/(G25*365))</f>
        <v>0.47045009784735814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828</v>
      </c>
      <c r="D27" s="296">
        <v>406</v>
      </c>
      <c r="E27" s="296">
        <v>406</v>
      </c>
      <c r="F27" s="297">
        <v>3</v>
      </c>
      <c r="G27" s="297">
        <v>6</v>
      </c>
      <c r="H27" s="298">
        <f>IF(F27=0,0,$C27/(F27*365))</f>
        <v>0.75616438356164384</v>
      </c>
      <c r="I27" s="298">
        <f>IF(G27=0,0,$C27/(G27*365))</f>
        <v>0.37808219178082192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95874</v>
      </c>
      <c r="D31" s="300">
        <f>SUM(D10:D29)-D13-D17-D23</f>
        <v>16894</v>
      </c>
      <c r="E31" s="300">
        <f>SUM(E10:E29)-E17-E23</f>
        <v>17048</v>
      </c>
      <c r="F31" s="300">
        <f>SUM(F10:F29)-F17-F23</f>
        <v>267</v>
      </c>
      <c r="G31" s="300">
        <f>SUM(G10:G29)-G17-G23</f>
        <v>347</v>
      </c>
      <c r="H31" s="301">
        <f>IF(F31=0,0,$C31/(F31*365))</f>
        <v>0.98377712790518701</v>
      </c>
      <c r="I31" s="301">
        <f>IF(G31=0,0,$C31/(G31*365))</f>
        <v>0.75696972089534564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100830</v>
      </c>
      <c r="D33" s="300">
        <f>SUM(D10:D29)-D13-D17</f>
        <v>18936</v>
      </c>
      <c r="E33" s="300">
        <f>SUM(E10:E29)-E17</f>
        <v>19090</v>
      </c>
      <c r="F33" s="300">
        <f>SUM(F10:F29)-F17</f>
        <v>281</v>
      </c>
      <c r="G33" s="300">
        <f>SUM(G10:G29)-G17</f>
        <v>371</v>
      </c>
      <c r="H33" s="301">
        <f>IF(F33=0,0,$C33/(F33*365))</f>
        <v>0.98308389801589235</v>
      </c>
      <c r="I33" s="301">
        <f>IF(G33=0,0,$C33/(G33*365))</f>
        <v>0.74459993353764353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100830</v>
      </c>
      <c r="D36" s="300">
        <f t="shared" si="1"/>
        <v>18936</v>
      </c>
      <c r="E36" s="300">
        <f t="shared" si="1"/>
        <v>19090</v>
      </c>
      <c r="F36" s="300">
        <f t="shared" si="1"/>
        <v>281</v>
      </c>
      <c r="G36" s="300">
        <f t="shared" si="1"/>
        <v>371</v>
      </c>
      <c r="H36" s="301">
        <f t="shared" si="1"/>
        <v>0.98308389801589235</v>
      </c>
      <c r="I36" s="301">
        <f t="shared" si="1"/>
        <v>0.74459993353764353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104095</v>
      </c>
      <c r="D37" s="300">
        <v>19058</v>
      </c>
      <c r="E37" s="300">
        <v>19026</v>
      </c>
      <c r="F37" s="302">
        <v>289</v>
      </c>
      <c r="G37" s="302">
        <v>406</v>
      </c>
      <c r="H37" s="301">
        <f>IF(F37=0,0,$C37/(F37*365))</f>
        <v>0.98682277101009619</v>
      </c>
      <c r="I37" s="301">
        <f>IF(G37=0,0,$C37/(G37*365))</f>
        <v>0.70244280990620145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-3265</v>
      </c>
      <c r="D38" s="300">
        <f t="shared" si="2"/>
        <v>-122</v>
      </c>
      <c r="E38" s="300">
        <f t="shared" si="2"/>
        <v>64</v>
      </c>
      <c r="F38" s="300">
        <f t="shared" si="2"/>
        <v>-8</v>
      </c>
      <c r="G38" s="300">
        <f t="shared" si="2"/>
        <v>-35</v>
      </c>
      <c r="H38" s="301">
        <f t="shared" si="2"/>
        <v>-3.7388729942038346E-3</v>
      </c>
      <c r="I38" s="301">
        <f t="shared" si="2"/>
        <v>4.2157123631442084E-2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-3.1365579518708872E-2</v>
      </c>
      <c r="D40" s="148">
        <f t="shared" si="3"/>
        <v>-6.4015111764088575E-3</v>
      </c>
      <c r="E40" s="148">
        <f t="shared" si="3"/>
        <v>3.3638179333543572E-3</v>
      </c>
      <c r="F40" s="148">
        <f t="shared" si="3"/>
        <v>-2.768166089965398E-2</v>
      </c>
      <c r="G40" s="148">
        <f t="shared" si="3"/>
        <v>-8.6206896551724144E-2</v>
      </c>
      <c r="H40" s="148">
        <f t="shared" si="3"/>
        <v>-3.7887988644372114E-3</v>
      </c>
      <c r="I40" s="148">
        <f t="shared" si="3"/>
        <v>6.0015026187073377E-2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383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FILING&amp;RBRIDGEPORT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9588</v>
      </c>
      <c r="D12" s="296">
        <v>10078</v>
      </c>
      <c r="E12" s="296">
        <f>+D12-C12</f>
        <v>490</v>
      </c>
      <c r="F12" s="316">
        <f>IF(C12=0,0,+E12/C12)</f>
        <v>5.1105548602419691E-2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1979</v>
      </c>
      <c r="D13" s="296">
        <v>2046</v>
      </c>
      <c r="E13" s="296">
        <f>+D13-C13</f>
        <v>67</v>
      </c>
      <c r="F13" s="316">
        <f>IF(C13=0,0,+E13/C13)</f>
        <v>3.3855482566953005E-2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9206</v>
      </c>
      <c r="D14" s="296">
        <v>8777</v>
      </c>
      <c r="E14" s="296">
        <f>+D14-C14</f>
        <v>-429</v>
      </c>
      <c r="F14" s="316">
        <f>IF(C14=0,0,+E14/C14)</f>
        <v>-4.660004344992396E-2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20773</v>
      </c>
      <c r="D16" s="300">
        <f>SUM(D12:D15)</f>
        <v>20901</v>
      </c>
      <c r="E16" s="300">
        <f>+D16-C16</f>
        <v>128</v>
      </c>
      <c r="F16" s="309">
        <f>IF(C16=0,0,+E16/C16)</f>
        <v>6.1618447022577386E-3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1122</v>
      </c>
      <c r="D19" s="296">
        <v>1110</v>
      </c>
      <c r="E19" s="296">
        <f>+D19-C19</f>
        <v>-12</v>
      </c>
      <c r="F19" s="316">
        <f>IF(C19=0,0,+E19/C19)</f>
        <v>-1.06951871657754E-2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0</v>
      </c>
      <c r="D20" s="296">
        <v>290</v>
      </c>
      <c r="E20" s="296">
        <f>+D20-C20</f>
        <v>290</v>
      </c>
      <c r="F20" s="316">
        <f>IF(C20=0,0,+E20/C20)</f>
        <v>0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287</v>
      </c>
      <c r="D21" s="296">
        <v>282</v>
      </c>
      <c r="E21" s="296">
        <f>+D21-C21</f>
        <v>-5</v>
      </c>
      <c r="F21" s="316">
        <f>IF(C21=0,0,+E21/C21)</f>
        <v>-1.7421602787456445E-2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1409</v>
      </c>
      <c r="D23" s="300">
        <f>SUM(D19:D22)</f>
        <v>1682</v>
      </c>
      <c r="E23" s="300">
        <f>+D23-C23</f>
        <v>273</v>
      </c>
      <c r="F23" s="309">
        <f>IF(C23=0,0,+E23/C23)</f>
        <v>0.19375443577004969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1</v>
      </c>
      <c r="E33" s="296">
        <f>+D33-C33</f>
        <v>1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166</v>
      </c>
      <c r="D34" s="296">
        <v>255</v>
      </c>
      <c r="E34" s="296">
        <f>+D34-C34</f>
        <v>89</v>
      </c>
      <c r="F34" s="316">
        <f>IF(C34=0,0,+E34/C34)</f>
        <v>0.53614457831325302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166</v>
      </c>
      <c r="D37" s="300">
        <f>SUM(D33:D36)</f>
        <v>256</v>
      </c>
      <c r="E37" s="300">
        <f>+D37-C37</f>
        <v>90</v>
      </c>
      <c r="F37" s="309">
        <f>IF(C37=0,0,+E37/C37)</f>
        <v>0.54216867469879515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200</v>
      </c>
      <c r="D43" s="296">
        <v>244</v>
      </c>
      <c r="E43" s="296">
        <f>+D43-C43</f>
        <v>44</v>
      </c>
      <c r="F43" s="316">
        <f>IF(C43=0,0,+E43/C43)</f>
        <v>0.22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6991</v>
      </c>
      <c r="D44" s="296">
        <v>7811</v>
      </c>
      <c r="E44" s="296">
        <f>+D44-C44</f>
        <v>820</v>
      </c>
      <c r="F44" s="316">
        <f>IF(C44=0,0,+E44/C44)</f>
        <v>0.11729366328136175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7191</v>
      </c>
      <c r="D45" s="300">
        <f>SUM(D43:D44)</f>
        <v>8055</v>
      </c>
      <c r="E45" s="300">
        <f>+D45-C45</f>
        <v>864</v>
      </c>
      <c r="F45" s="309">
        <f>IF(C45=0,0,+E45/C45)</f>
        <v>0.12015018773466833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480</v>
      </c>
      <c r="D48" s="296">
        <v>412</v>
      </c>
      <c r="E48" s="296">
        <f>+D48-C48</f>
        <v>-68</v>
      </c>
      <c r="F48" s="316">
        <f>IF(C48=0,0,+E48/C48)</f>
        <v>-0.14166666666666666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394</v>
      </c>
      <c r="D49" s="296">
        <v>327</v>
      </c>
      <c r="E49" s="296">
        <f>+D49-C49</f>
        <v>-67</v>
      </c>
      <c r="F49" s="316">
        <f>IF(C49=0,0,+E49/C49)</f>
        <v>-0.17005076142131981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874</v>
      </c>
      <c r="D50" s="300">
        <f>SUM(D48:D49)</f>
        <v>739</v>
      </c>
      <c r="E50" s="300">
        <f>+D50-C50</f>
        <v>-135</v>
      </c>
      <c r="F50" s="309">
        <f>IF(C50=0,0,+E50/C50)</f>
        <v>-0.15446224256292906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192</v>
      </c>
      <c r="D53" s="296">
        <v>176</v>
      </c>
      <c r="E53" s="296">
        <f>+D53-C53</f>
        <v>-16</v>
      </c>
      <c r="F53" s="316">
        <f>IF(C53=0,0,+E53/C53)</f>
        <v>-8.3333333333333329E-2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279</v>
      </c>
      <c r="D54" s="296">
        <v>206</v>
      </c>
      <c r="E54" s="296">
        <f>+D54-C54</f>
        <v>-73</v>
      </c>
      <c r="F54" s="316">
        <f>IF(C54=0,0,+E54/C54)</f>
        <v>-0.26164874551971329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471</v>
      </c>
      <c r="D55" s="300">
        <f>SUM(D53:D54)</f>
        <v>382</v>
      </c>
      <c r="E55" s="300">
        <f>+D55-C55</f>
        <v>-89</v>
      </c>
      <c r="F55" s="309">
        <f>IF(C55=0,0,+E55/C55)</f>
        <v>-0.18895966029723993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95</v>
      </c>
      <c r="D58" s="296">
        <v>126</v>
      </c>
      <c r="E58" s="296">
        <f>+D58-C58</f>
        <v>31</v>
      </c>
      <c r="F58" s="316">
        <f>IF(C58=0,0,+E58/C58)</f>
        <v>0.32631578947368423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239</v>
      </c>
      <c r="D59" s="296">
        <v>303</v>
      </c>
      <c r="E59" s="296">
        <f>+D59-C59</f>
        <v>64</v>
      </c>
      <c r="F59" s="316">
        <f>IF(C59=0,0,+E59/C59)</f>
        <v>0.26778242677824265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334</v>
      </c>
      <c r="D60" s="300">
        <f>SUM(D58:D59)</f>
        <v>429</v>
      </c>
      <c r="E60" s="300">
        <f>SUM(E58:E59)</f>
        <v>95</v>
      </c>
      <c r="F60" s="309">
        <f>IF(C60=0,0,+E60/C60)</f>
        <v>0.28443113772455092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4078</v>
      </c>
      <c r="D63" s="296">
        <v>4144</v>
      </c>
      <c r="E63" s="296">
        <f>+D63-C63</f>
        <v>66</v>
      </c>
      <c r="F63" s="316">
        <f>IF(C63=0,0,+E63/C63)</f>
        <v>1.6184404119666502E-2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7528</v>
      </c>
      <c r="D64" s="296">
        <v>7749</v>
      </c>
      <c r="E64" s="296">
        <f>+D64-C64</f>
        <v>221</v>
      </c>
      <c r="F64" s="316">
        <f>IF(C64=0,0,+E64/C64)</f>
        <v>2.9357066950053134E-2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11606</v>
      </c>
      <c r="D65" s="300">
        <f>SUM(D63:D64)</f>
        <v>11893</v>
      </c>
      <c r="E65" s="300">
        <f>+D65-C65</f>
        <v>287</v>
      </c>
      <c r="F65" s="309">
        <f>IF(C65=0,0,+E65/C65)</f>
        <v>2.4728588661037394E-2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1104</v>
      </c>
      <c r="D68" s="296">
        <v>1239</v>
      </c>
      <c r="E68" s="296">
        <f>+D68-C68</f>
        <v>135</v>
      </c>
      <c r="F68" s="316">
        <f>IF(C68=0,0,+E68/C68)</f>
        <v>0.12228260869565218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5769</v>
      </c>
      <c r="D69" s="296">
        <v>5651</v>
      </c>
      <c r="E69" s="296">
        <f>+D69-C69</f>
        <v>-118</v>
      </c>
      <c r="F69" s="318">
        <f>IF(C69=0,0,+E69/C69)</f>
        <v>-2.0454151499393308E-2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6873</v>
      </c>
      <c r="D70" s="300">
        <f>SUM(D68:D69)</f>
        <v>6890</v>
      </c>
      <c r="E70" s="300">
        <f>+D70-C70</f>
        <v>17</v>
      </c>
      <c r="F70" s="309">
        <f>IF(C70=0,0,+E70/C70)</f>
        <v>2.4734468208933509E-3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11166</v>
      </c>
      <c r="D73" s="319">
        <v>11267</v>
      </c>
      <c r="E73" s="296">
        <f>+D73-C73</f>
        <v>101</v>
      </c>
      <c r="F73" s="316">
        <f>IF(C73=0,0,+E73/C73)</f>
        <v>9.0453161382769119E-3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65670</v>
      </c>
      <c r="D74" s="319">
        <v>67791</v>
      </c>
      <c r="E74" s="296">
        <f>+D74-C74</f>
        <v>2121</v>
      </c>
      <c r="F74" s="316">
        <f>IF(C74=0,0,+E74/C74)</f>
        <v>3.2297852900867979E-2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76836</v>
      </c>
      <c r="D75" s="300">
        <f>SUM(D73:D74)</f>
        <v>79058</v>
      </c>
      <c r="E75" s="300">
        <f>SUM(E73:E74)</f>
        <v>2222</v>
      </c>
      <c r="F75" s="309">
        <f>IF(C75=0,0,+E75/C75)</f>
        <v>2.8918736009162373E-2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28887</v>
      </c>
      <c r="D82" s="319">
        <v>30503</v>
      </c>
      <c r="E82" s="296">
        <f t="shared" si="0"/>
        <v>1616</v>
      </c>
      <c r="F82" s="316">
        <f t="shared" si="1"/>
        <v>5.5942119292415271E-2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7304</v>
      </c>
      <c r="D83" s="319">
        <v>2754</v>
      </c>
      <c r="E83" s="296">
        <f t="shared" si="0"/>
        <v>-4550</v>
      </c>
      <c r="F83" s="316">
        <f t="shared" si="1"/>
        <v>-0.62294633077765604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36191</v>
      </c>
      <c r="D84" s="320">
        <f>SUM(D79:D83)</f>
        <v>33257</v>
      </c>
      <c r="E84" s="300">
        <f t="shared" si="0"/>
        <v>-2934</v>
      </c>
      <c r="F84" s="309">
        <f t="shared" si="1"/>
        <v>-8.1069879251747676E-2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41229</v>
      </c>
      <c r="D87" s="322">
        <v>46307</v>
      </c>
      <c r="E87" s="323">
        <f t="shared" ref="E87:E92" si="2">+D87-C87</f>
        <v>5078</v>
      </c>
      <c r="F87" s="318">
        <f t="shared" ref="F87:F92" si="3">IF(C87=0,0,+E87/C87)</f>
        <v>0.1231657328579398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4005</v>
      </c>
      <c r="D88" s="322">
        <v>3210</v>
      </c>
      <c r="E88" s="296">
        <f t="shared" si="2"/>
        <v>-795</v>
      </c>
      <c r="F88" s="316">
        <f t="shared" si="3"/>
        <v>-0.19850187265917604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772</v>
      </c>
      <c r="D89" s="322">
        <v>920</v>
      </c>
      <c r="E89" s="296">
        <f t="shared" si="2"/>
        <v>148</v>
      </c>
      <c r="F89" s="316">
        <f t="shared" si="3"/>
        <v>0.19170984455958548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5769</v>
      </c>
      <c r="D90" s="322">
        <v>5651</v>
      </c>
      <c r="E90" s="296">
        <f t="shared" si="2"/>
        <v>-118</v>
      </c>
      <c r="F90" s="316">
        <f t="shared" si="3"/>
        <v>-2.0454151499393308E-2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95520</v>
      </c>
      <c r="D91" s="322">
        <v>116397</v>
      </c>
      <c r="E91" s="296">
        <f t="shared" si="2"/>
        <v>20877</v>
      </c>
      <c r="F91" s="316">
        <f t="shared" si="3"/>
        <v>0.21856155778894473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147295</v>
      </c>
      <c r="D92" s="320">
        <f>SUM(D87:D91)</f>
        <v>172485</v>
      </c>
      <c r="E92" s="300">
        <f t="shared" si="2"/>
        <v>25190</v>
      </c>
      <c r="F92" s="309">
        <f t="shared" si="3"/>
        <v>0.17101734614209579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580.1</v>
      </c>
      <c r="D96" s="325">
        <v>585.4</v>
      </c>
      <c r="E96" s="326">
        <f>+D96-C96</f>
        <v>5.2999999999999545</v>
      </c>
      <c r="F96" s="316">
        <f>IF(C96=0,0,+E96/C96)</f>
        <v>9.1363558007239339E-3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135.9</v>
      </c>
      <c r="D97" s="325">
        <v>109.3</v>
      </c>
      <c r="E97" s="326">
        <f>+D97-C97</f>
        <v>-26.600000000000009</v>
      </c>
      <c r="F97" s="316">
        <f>IF(C97=0,0,+E97/C97)</f>
        <v>-0.19573215599705671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1369.9</v>
      </c>
      <c r="D98" s="325">
        <v>1415.9</v>
      </c>
      <c r="E98" s="326">
        <f>+D98-C98</f>
        <v>46</v>
      </c>
      <c r="F98" s="316">
        <f>IF(C98=0,0,+E98/C98)</f>
        <v>3.3579093364479159E-2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2085.9</v>
      </c>
      <c r="D99" s="327">
        <f>SUM(D96:D98)</f>
        <v>2110.6</v>
      </c>
      <c r="E99" s="327">
        <f>+D99-C99</f>
        <v>24.699999999999818</v>
      </c>
      <c r="F99" s="309">
        <f>IF(C99=0,0,+E99/C99)</f>
        <v>1.18414113811783E-2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FILING&amp;RBRIDGEPORT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7528</v>
      </c>
      <c r="D12" s="296">
        <v>7749</v>
      </c>
      <c r="E12" s="296">
        <f>+D12-C12</f>
        <v>221</v>
      </c>
      <c r="F12" s="316">
        <f>IF(C12=0,0,+E12/C12)</f>
        <v>2.9357066950053134E-2</v>
      </c>
    </row>
    <row r="13" spans="1:16" ht="15.75" customHeight="1" x14ac:dyDescent="0.25">
      <c r="A13" s="294"/>
      <c r="B13" s="135" t="s">
        <v>602</v>
      </c>
      <c r="C13" s="300">
        <f>SUM(C11:C12)</f>
        <v>7528</v>
      </c>
      <c r="D13" s="300">
        <f>SUM(D11:D12)</f>
        <v>7749</v>
      </c>
      <c r="E13" s="300">
        <f>+D13-C13</f>
        <v>221</v>
      </c>
      <c r="F13" s="309">
        <f>IF(C13=0,0,+E13/C13)</f>
        <v>2.9357066950053134E-2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5769</v>
      </c>
      <c r="D16" s="296">
        <v>5651</v>
      </c>
      <c r="E16" s="296">
        <f>+D16-C16</f>
        <v>-118</v>
      </c>
      <c r="F16" s="316">
        <f>IF(C16=0,0,+E16/C16)</f>
        <v>-2.0454151499393308E-2</v>
      </c>
    </row>
    <row r="17" spans="1:6" ht="15.75" customHeight="1" x14ac:dyDescent="0.25">
      <c r="A17" s="294"/>
      <c r="B17" s="135" t="s">
        <v>603</v>
      </c>
      <c r="C17" s="300">
        <f>SUM(C15:C16)</f>
        <v>5769</v>
      </c>
      <c r="D17" s="300">
        <f>SUM(D15:D16)</f>
        <v>5651</v>
      </c>
      <c r="E17" s="300">
        <f>+D17-C17</f>
        <v>-118</v>
      </c>
      <c r="F17" s="309">
        <f>IF(C17=0,0,+E17/C17)</f>
        <v>-2.0454151499393308E-2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65670</v>
      </c>
      <c r="D20" s="296">
        <v>67791</v>
      </c>
      <c r="E20" s="296">
        <f>+D20-C20</f>
        <v>2121</v>
      </c>
      <c r="F20" s="316">
        <f>IF(C20=0,0,+E20/C20)</f>
        <v>3.2297852900867979E-2</v>
      </c>
    </row>
    <row r="21" spans="1:6" ht="15.75" customHeight="1" x14ac:dyDescent="0.25">
      <c r="A21" s="294"/>
      <c r="B21" s="135" t="s">
        <v>605</v>
      </c>
      <c r="C21" s="300">
        <f>SUM(C19:C20)</f>
        <v>65670</v>
      </c>
      <c r="D21" s="300">
        <f>SUM(D19:D20)</f>
        <v>67791</v>
      </c>
      <c r="E21" s="300">
        <f>+D21-C21</f>
        <v>2121</v>
      </c>
      <c r="F21" s="309">
        <f>IF(C21=0,0,+E21/C21)</f>
        <v>3.2297852900867979E-2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FILING&amp;RBRIDGEPORT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355841758</v>
      </c>
      <c r="D15" s="361">
        <v>374698707</v>
      </c>
      <c r="E15" s="361">
        <f t="shared" ref="E15:E24" si="0">D15-C15</f>
        <v>18856949</v>
      </c>
      <c r="F15" s="362">
        <f t="shared" ref="F15:F24" si="1">IF(C15=0,0,E15/C15)</f>
        <v>5.2992513037213577E-2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116690530</v>
      </c>
      <c r="D16" s="361">
        <v>121076188</v>
      </c>
      <c r="E16" s="361">
        <f t="shared" si="0"/>
        <v>4385658</v>
      </c>
      <c r="F16" s="362">
        <f t="shared" si="1"/>
        <v>3.7583666815122013E-2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0.32792815170388179</v>
      </c>
      <c r="D17" s="366">
        <f>IF(LN_IA1=0,0,LN_IA2/LN_IA1)</f>
        <v>0.3231294523789216</v>
      </c>
      <c r="E17" s="367">
        <f t="shared" si="0"/>
        <v>-4.7986993249601873E-3</v>
      </c>
      <c r="F17" s="362">
        <f t="shared" si="1"/>
        <v>-1.4633386307417118E-2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6932</v>
      </c>
      <c r="D18" s="369">
        <v>7260</v>
      </c>
      <c r="E18" s="369">
        <f t="shared" si="0"/>
        <v>328</v>
      </c>
      <c r="F18" s="362">
        <f t="shared" si="1"/>
        <v>4.731679169070975E-2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1.6128899999999999</v>
      </c>
      <c r="D19" s="372">
        <v>1.5809899999999999</v>
      </c>
      <c r="E19" s="373">
        <f t="shared" si="0"/>
        <v>-3.1900000000000039E-2</v>
      </c>
      <c r="F19" s="362">
        <f t="shared" si="1"/>
        <v>-1.9778162180929908E-2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11180.553479999999</v>
      </c>
      <c r="D20" s="376">
        <f>LN_IA4*LN_IA5</f>
        <v>11477.9874</v>
      </c>
      <c r="E20" s="376">
        <f t="shared" si="0"/>
        <v>297.43392000000131</v>
      </c>
      <c r="F20" s="362">
        <f t="shared" si="1"/>
        <v>2.6602790329839855E-2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10436.918906451134</v>
      </c>
      <c r="D21" s="378">
        <f>IF(LN_IA6=0,0,LN_IA2/LN_IA6)</f>
        <v>10548.555576912377</v>
      </c>
      <c r="E21" s="378">
        <f t="shared" si="0"/>
        <v>111.63667046124283</v>
      </c>
      <c r="F21" s="362">
        <f t="shared" si="1"/>
        <v>1.0696324409710552E-2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51339</v>
      </c>
      <c r="D22" s="369">
        <v>50685</v>
      </c>
      <c r="E22" s="369">
        <f t="shared" si="0"/>
        <v>-654</v>
      </c>
      <c r="F22" s="362">
        <f t="shared" si="1"/>
        <v>-1.2738853503184714E-2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2272.9412337599097</v>
      </c>
      <c r="D23" s="378">
        <f>IF(LN_IA8=0,0,LN_IA2/LN_IA8)</f>
        <v>2388.7972378415707</v>
      </c>
      <c r="E23" s="378">
        <f t="shared" si="0"/>
        <v>115.85600408166101</v>
      </c>
      <c r="F23" s="362">
        <f t="shared" si="1"/>
        <v>5.0971843161123652E-2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7.4060877091748409</v>
      </c>
      <c r="D24" s="379">
        <f>IF(LN_IA4=0,0,LN_IA8/LN_IA4)</f>
        <v>6.9814049586776861</v>
      </c>
      <c r="E24" s="379">
        <f t="shared" si="0"/>
        <v>-0.42468275049715487</v>
      </c>
      <c r="F24" s="362">
        <f t="shared" si="1"/>
        <v>-5.7342387394500823E-2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145753576</v>
      </c>
      <c r="D27" s="361">
        <v>163270365</v>
      </c>
      <c r="E27" s="361">
        <f t="shared" ref="E27:E32" si="2">D27-C27</f>
        <v>17516789</v>
      </c>
      <c r="F27" s="362">
        <f t="shared" ref="F27:F32" si="3">IF(C27=0,0,E27/C27)</f>
        <v>0.12018085237236306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27661355</v>
      </c>
      <c r="D28" s="361">
        <v>31077627</v>
      </c>
      <c r="E28" s="361">
        <f t="shared" si="2"/>
        <v>3416272</v>
      </c>
      <c r="F28" s="362">
        <f t="shared" si="3"/>
        <v>0.12350342201240684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0.1897816558545363</v>
      </c>
      <c r="D29" s="366">
        <f>IF(LN_IA11=0,0,LN_IA12/LN_IA11)</f>
        <v>0.19034456742961284</v>
      </c>
      <c r="E29" s="367">
        <f t="shared" si="2"/>
        <v>5.6291157507654122E-4</v>
      </c>
      <c r="F29" s="362">
        <f t="shared" si="3"/>
        <v>2.9661010835947245E-3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0.40960222549260222</v>
      </c>
      <c r="D30" s="366">
        <f>IF(LN_IA1=0,0,LN_IA11/LN_IA1)</f>
        <v>0.43573773260978987</v>
      </c>
      <c r="E30" s="367">
        <f t="shared" si="2"/>
        <v>2.6135507117187651E-2</v>
      </c>
      <c r="F30" s="362">
        <f t="shared" si="3"/>
        <v>6.3807043737997657E-2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2839.3626271147186</v>
      </c>
      <c r="D31" s="376">
        <f>LN_IA14*LN_IA4</f>
        <v>3163.4559387470745</v>
      </c>
      <c r="E31" s="376">
        <f t="shared" si="2"/>
        <v>324.09331163235584</v>
      </c>
      <c r="F31" s="362">
        <f t="shared" si="3"/>
        <v>0.11414298002565824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9742.1001234029409</v>
      </c>
      <c r="D32" s="378">
        <f>IF(LN_IA15=0,0,LN_IA12/LN_IA15)</f>
        <v>9823.9481129959022</v>
      </c>
      <c r="E32" s="378">
        <f t="shared" si="2"/>
        <v>81.847989592961312</v>
      </c>
      <c r="F32" s="362">
        <f t="shared" si="3"/>
        <v>8.4014728401674028E-3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501595334</v>
      </c>
      <c r="D35" s="361">
        <f>LN_IA1+LN_IA11</f>
        <v>537969072</v>
      </c>
      <c r="E35" s="361">
        <f>D35-C35</f>
        <v>36373738</v>
      </c>
      <c r="F35" s="362">
        <f>IF(C35=0,0,E35/C35)</f>
        <v>7.251610119642779E-2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144351885</v>
      </c>
      <c r="D36" s="361">
        <f>LN_IA2+LN_IA12</f>
        <v>152153815</v>
      </c>
      <c r="E36" s="361">
        <f>D36-C36</f>
        <v>7801930</v>
      </c>
      <c r="F36" s="362">
        <f>IF(C36=0,0,E36/C36)</f>
        <v>5.4047995285963879E-2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357243449</v>
      </c>
      <c r="D37" s="361">
        <f>LN_IA17-LN_IA18</f>
        <v>385815257</v>
      </c>
      <c r="E37" s="361">
        <f>D37-C37</f>
        <v>28571808</v>
      </c>
      <c r="F37" s="362">
        <f>IF(C37=0,0,E37/C37)</f>
        <v>7.9978535869526884E-2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213400151</v>
      </c>
      <c r="D42" s="361">
        <v>205353607</v>
      </c>
      <c r="E42" s="361">
        <f t="shared" ref="E42:E53" si="4">D42-C42</f>
        <v>-8046544</v>
      </c>
      <c r="F42" s="362">
        <f t="shared" ref="F42:F53" si="5">IF(C42=0,0,E42/C42)</f>
        <v>-3.7706365071878509E-2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95766076</v>
      </c>
      <c r="D43" s="361">
        <v>86004341</v>
      </c>
      <c r="E43" s="361">
        <f t="shared" si="4"/>
        <v>-9761735</v>
      </c>
      <c r="F43" s="362">
        <f t="shared" si="5"/>
        <v>-0.10193312086839602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0.4487629251958683</v>
      </c>
      <c r="D44" s="366">
        <f>IF(LN_IB1=0,0,LN_IB2/LN_IB1)</f>
        <v>0.41881095860176443</v>
      </c>
      <c r="E44" s="367">
        <f t="shared" si="4"/>
        <v>-2.9951966594103874E-2</v>
      </c>
      <c r="F44" s="362">
        <f t="shared" si="5"/>
        <v>-6.674340706962581E-2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6089</v>
      </c>
      <c r="D45" s="369">
        <v>5672</v>
      </c>
      <c r="E45" s="369">
        <f t="shared" si="4"/>
        <v>-417</v>
      </c>
      <c r="F45" s="362">
        <f t="shared" si="5"/>
        <v>-6.8484151749055672E-2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1.2248300000000001</v>
      </c>
      <c r="D46" s="372">
        <v>1.2174799999999999</v>
      </c>
      <c r="E46" s="373">
        <f t="shared" si="4"/>
        <v>-7.3500000000001897E-3</v>
      </c>
      <c r="F46" s="362">
        <f t="shared" si="5"/>
        <v>-6.0008327686292707E-3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7457.9898700000003</v>
      </c>
      <c r="D47" s="376">
        <f>LN_IB4*LN_IB5</f>
        <v>6905.5465599999998</v>
      </c>
      <c r="E47" s="376">
        <f t="shared" si="4"/>
        <v>-552.44331000000057</v>
      </c>
      <c r="F47" s="362">
        <f t="shared" si="5"/>
        <v>-7.4074022575737364E-2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12840.735596225742</v>
      </c>
      <c r="D48" s="378">
        <f>IF(LN_IB6=0,0,LN_IB2/LN_IB6)</f>
        <v>12454.385797378507</v>
      </c>
      <c r="E48" s="378">
        <f t="shared" si="4"/>
        <v>-386.34979884723543</v>
      </c>
      <c r="F48" s="362">
        <f t="shared" si="5"/>
        <v>-3.0087824482640593E-2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-2403.8166897746087</v>
      </c>
      <c r="D49" s="378">
        <f>LN_IA7-LN_IB7</f>
        <v>-1905.8302204661304</v>
      </c>
      <c r="E49" s="378">
        <f t="shared" si="4"/>
        <v>497.98646930847826</v>
      </c>
      <c r="F49" s="362">
        <f t="shared" si="5"/>
        <v>-0.20716491046377228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-17927640.521675967</v>
      </c>
      <c r="D50" s="391">
        <f>LN_IB8*LN_IB6</f>
        <v>-13160799.322883928</v>
      </c>
      <c r="E50" s="391">
        <f t="shared" si="4"/>
        <v>4766841.1987920385</v>
      </c>
      <c r="F50" s="362">
        <f t="shared" si="5"/>
        <v>-0.26589339478491564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25520</v>
      </c>
      <c r="D51" s="369">
        <v>23454</v>
      </c>
      <c r="E51" s="369">
        <f t="shared" si="4"/>
        <v>-2066</v>
      </c>
      <c r="F51" s="362">
        <f t="shared" si="5"/>
        <v>-8.0956112852664575E-2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3752.589184952978</v>
      </c>
      <c r="D52" s="378">
        <f>IF(LN_IB10=0,0,LN_IB2/LN_IB10)</f>
        <v>3666.9370256672637</v>
      </c>
      <c r="E52" s="378">
        <f t="shared" si="4"/>
        <v>-85.652159285714333</v>
      </c>
      <c r="F52" s="362">
        <f t="shared" si="5"/>
        <v>-2.2824816430522116E-2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4.1911643948103139</v>
      </c>
      <c r="D53" s="379">
        <f>IF(LN_IB4=0,0,LN_IB10/LN_IB4)</f>
        <v>4.1350493653032441</v>
      </c>
      <c r="E53" s="379">
        <f t="shared" si="4"/>
        <v>-5.6115029507069814E-2</v>
      </c>
      <c r="F53" s="362">
        <f t="shared" si="5"/>
        <v>-1.338888772212179E-2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247235586</v>
      </c>
      <c r="D56" s="361">
        <v>269703464</v>
      </c>
      <c r="E56" s="361">
        <f t="shared" ref="E56:E63" si="6">D56-C56</f>
        <v>22467878</v>
      </c>
      <c r="F56" s="362">
        <f t="shared" ref="F56:F63" si="7">IF(C56=0,0,E56/C56)</f>
        <v>9.087639187992945E-2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86464944</v>
      </c>
      <c r="D57" s="361">
        <v>93021445</v>
      </c>
      <c r="E57" s="361">
        <f t="shared" si="6"/>
        <v>6556501</v>
      </c>
      <c r="F57" s="362">
        <f t="shared" si="7"/>
        <v>7.5828430537120337E-2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0.34972693615392403</v>
      </c>
      <c r="D58" s="366">
        <f>IF(LN_IB13=0,0,LN_IB14/LN_IB13)</f>
        <v>0.3449026705863889</v>
      </c>
      <c r="E58" s="367">
        <f t="shared" si="6"/>
        <v>-4.8242655675351243E-3</v>
      </c>
      <c r="F58" s="362">
        <f t="shared" si="7"/>
        <v>-1.3794378038447224E-2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1.1585539412294044</v>
      </c>
      <c r="D59" s="366">
        <f>IF(LN_IB1=0,0,LN_IB13/LN_IB1)</f>
        <v>1.3133612208720542</v>
      </c>
      <c r="E59" s="367">
        <f t="shared" si="6"/>
        <v>0.15480727964264984</v>
      </c>
      <c r="F59" s="362">
        <f t="shared" si="7"/>
        <v>0.1336211238281883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7054.434948145843</v>
      </c>
      <c r="D60" s="376">
        <f>LN_IB16*LN_IB4</f>
        <v>7449.3848447862911</v>
      </c>
      <c r="E60" s="376">
        <f t="shared" si="6"/>
        <v>394.94989664044806</v>
      </c>
      <c r="F60" s="362">
        <f t="shared" si="7"/>
        <v>5.5986042758003597E-2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12256.820657581664</v>
      </c>
      <c r="D61" s="378">
        <f>IF(LN_IB17=0,0,LN_IB14/LN_IB17)</f>
        <v>12487.131077018295</v>
      </c>
      <c r="E61" s="378">
        <f t="shared" si="6"/>
        <v>230.31041943663149</v>
      </c>
      <c r="F61" s="362">
        <f t="shared" si="7"/>
        <v>1.8790388296508937E-2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-2514.720534178723</v>
      </c>
      <c r="D62" s="378">
        <f>LN_IA16-LN_IB18</f>
        <v>-2663.1829640223932</v>
      </c>
      <c r="E62" s="378">
        <f t="shared" si="6"/>
        <v>-148.46242984367018</v>
      </c>
      <c r="F62" s="362">
        <f t="shared" si="7"/>
        <v>5.9037347421253786E-2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-17739932.421130367</v>
      </c>
      <c r="D63" s="361">
        <f>LN_IB19*LN_IB17</f>
        <v>-19839074.81108145</v>
      </c>
      <c r="E63" s="361">
        <f t="shared" si="6"/>
        <v>-2099142.3899510838</v>
      </c>
      <c r="F63" s="362">
        <f t="shared" si="7"/>
        <v>0.11832865763630282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460635737</v>
      </c>
      <c r="D66" s="361">
        <f>LN_IB1+LN_IB13</f>
        <v>475057071</v>
      </c>
      <c r="E66" s="361">
        <f>D66-C66</f>
        <v>14421334</v>
      </c>
      <c r="F66" s="362">
        <f>IF(C66=0,0,E66/C66)</f>
        <v>3.1307458022954045E-2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182231020</v>
      </c>
      <c r="D67" s="361">
        <f>LN_IB2+LN_IB14</f>
        <v>179025786</v>
      </c>
      <c r="E67" s="361">
        <f>D67-C67</f>
        <v>-3205234</v>
      </c>
      <c r="F67" s="362">
        <f>IF(C67=0,0,E67/C67)</f>
        <v>-1.7588849582250047E-2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278404717</v>
      </c>
      <c r="D68" s="361">
        <f>LN_IB21-LN_IB22</f>
        <v>296031285</v>
      </c>
      <c r="E68" s="361">
        <f>D68-C68</f>
        <v>17626568</v>
      </c>
      <c r="F68" s="362">
        <f>IF(C68=0,0,E68/C68)</f>
        <v>6.3312749115525938E-2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-35667572.942806333</v>
      </c>
      <c r="D70" s="353">
        <f>LN_IB9+LN_IB20</f>
        <v>-32999874.13396538</v>
      </c>
      <c r="E70" s="361">
        <f>D70-C70</f>
        <v>2667698.8088409528</v>
      </c>
      <c r="F70" s="362">
        <f>IF(C70=0,0,E70/C70)</f>
        <v>-7.4793393234764277E-2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401607588</v>
      </c>
      <c r="D73" s="400">
        <v>413365615</v>
      </c>
      <c r="E73" s="400">
        <f>D73-C73</f>
        <v>11758027</v>
      </c>
      <c r="F73" s="401">
        <f>IF(C73=0,0,E73/C73)</f>
        <v>2.9277402497683885E-2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113130118</v>
      </c>
      <c r="D74" s="400">
        <v>163302210</v>
      </c>
      <c r="E74" s="400">
        <f>D74-C74</f>
        <v>50172092</v>
      </c>
      <c r="F74" s="401">
        <f>IF(C74=0,0,E74/C74)</f>
        <v>0.44349014114879648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288477470</v>
      </c>
      <c r="D76" s="353">
        <f>LN_IB32-LN_IB33</f>
        <v>250063405</v>
      </c>
      <c r="E76" s="400">
        <f>D76-C76</f>
        <v>-38414065</v>
      </c>
      <c r="F76" s="401">
        <f>IF(C76=0,0,E76/C76)</f>
        <v>-0.13316140425108414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0.71830682143386193</v>
      </c>
      <c r="D77" s="366">
        <f>IF(LN_IB1=0,0,LN_IB34/LN_IB32)</f>
        <v>0.60494486218937205</v>
      </c>
      <c r="E77" s="405">
        <f>D77-C77</f>
        <v>-0.11336195924448988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9870815</v>
      </c>
      <c r="D83" s="361">
        <v>10522802</v>
      </c>
      <c r="E83" s="361">
        <f t="shared" ref="E83:E95" si="8">D83-C83</f>
        <v>651987</v>
      </c>
      <c r="F83" s="362">
        <f t="shared" ref="F83:F95" si="9">IF(C83=0,0,E83/C83)</f>
        <v>6.6051992667272158E-2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2770737</v>
      </c>
      <c r="D84" s="361">
        <v>1360781</v>
      </c>
      <c r="E84" s="361">
        <f t="shared" si="8"/>
        <v>-1409956</v>
      </c>
      <c r="F84" s="362">
        <f t="shared" si="9"/>
        <v>-0.50887399273189771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0.28069992194160259</v>
      </c>
      <c r="D85" s="366">
        <f>IF(LN_IC1=0,0,LN_IC2/LN_IC1)</f>
        <v>0.12931736242875233</v>
      </c>
      <c r="E85" s="367">
        <f t="shared" si="8"/>
        <v>-0.15138255951285026</v>
      </c>
      <c r="F85" s="362">
        <f t="shared" si="9"/>
        <v>-0.53930388888509995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262</v>
      </c>
      <c r="D86" s="369">
        <v>296</v>
      </c>
      <c r="E86" s="369">
        <f t="shared" si="8"/>
        <v>34</v>
      </c>
      <c r="F86" s="362">
        <f t="shared" si="9"/>
        <v>0.12977099236641221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1.14876</v>
      </c>
      <c r="D87" s="372">
        <v>1.0761799999999999</v>
      </c>
      <c r="E87" s="373">
        <f t="shared" si="8"/>
        <v>-7.2580000000000089E-2</v>
      </c>
      <c r="F87" s="362">
        <f t="shared" si="9"/>
        <v>-6.3181169260768208E-2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300.97512</v>
      </c>
      <c r="D88" s="376">
        <f>LN_IC4*LN_IC5</f>
        <v>318.54927999999995</v>
      </c>
      <c r="E88" s="376">
        <f t="shared" si="8"/>
        <v>17.574159999999949</v>
      </c>
      <c r="F88" s="362">
        <f t="shared" si="9"/>
        <v>5.8390740071803775E-2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9205.867249093546</v>
      </c>
      <c r="D89" s="378">
        <f>IF(LN_IC6=0,0,LN_IC2/LN_IC6)</f>
        <v>4271.8068614061858</v>
      </c>
      <c r="E89" s="378">
        <f t="shared" si="8"/>
        <v>-4934.0603876873602</v>
      </c>
      <c r="F89" s="362">
        <f t="shared" si="9"/>
        <v>-0.53596910037706569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3634.8683471321965</v>
      </c>
      <c r="D90" s="378">
        <f>LN_IB7-LN_IC7</f>
        <v>8182.5789359723212</v>
      </c>
      <c r="E90" s="378">
        <f t="shared" si="8"/>
        <v>4547.7105888401247</v>
      </c>
      <c r="F90" s="362">
        <f t="shared" si="9"/>
        <v>1.2511348842739061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1231.0516573575878</v>
      </c>
      <c r="D91" s="378">
        <f>LN_IA7-LN_IC7</f>
        <v>6276.7487155061908</v>
      </c>
      <c r="E91" s="378">
        <f t="shared" si="8"/>
        <v>5045.697058148603</v>
      </c>
      <c r="F91" s="362">
        <f t="shared" si="9"/>
        <v>4.0986883271649432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370515.92029939889</v>
      </c>
      <c r="D92" s="353">
        <f>LN_IC9*LN_IC6</f>
        <v>1999453.7840654217</v>
      </c>
      <c r="E92" s="353">
        <f t="shared" si="8"/>
        <v>1628937.8637660227</v>
      </c>
      <c r="F92" s="362">
        <f t="shared" si="9"/>
        <v>4.3964045119835715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1106</v>
      </c>
      <c r="D93" s="369">
        <v>1332</v>
      </c>
      <c r="E93" s="369">
        <f t="shared" si="8"/>
        <v>226</v>
      </c>
      <c r="F93" s="362">
        <f t="shared" si="9"/>
        <v>0.20433996383363473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2505.1871609403256</v>
      </c>
      <c r="D94" s="411">
        <f>IF(LN_IC11=0,0,LN_IC2/LN_IC11)</f>
        <v>1021.6073573573574</v>
      </c>
      <c r="E94" s="411">
        <f t="shared" si="8"/>
        <v>-1483.5798035829682</v>
      </c>
      <c r="F94" s="362">
        <f t="shared" si="9"/>
        <v>-0.59220318015126039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4.221374045801527</v>
      </c>
      <c r="D95" s="379">
        <f>IF(LN_IC4=0,0,LN_IC11/LN_IC4)</f>
        <v>4.5</v>
      </c>
      <c r="E95" s="379">
        <f t="shared" si="8"/>
        <v>0.27862595419847302</v>
      </c>
      <c r="F95" s="362">
        <f t="shared" si="9"/>
        <v>6.600361663652797E-2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33143267</v>
      </c>
      <c r="D98" s="361">
        <v>36993422</v>
      </c>
      <c r="E98" s="361">
        <f t="shared" ref="E98:E106" si="10">D98-C98</f>
        <v>3850155</v>
      </c>
      <c r="F98" s="362">
        <f t="shared" ref="F98:F106" si="11">IF(C98=0,0,E98/C98)</f>
        <v>0.11616703326198953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2427657</v>
      </c>
      <c r="D99" s="361">
        <v>3002200</v>
      </c>
      <c r="E99" s="361">
        <f t="shared" si="10"/>
        <v>574543</v>
      </c>
      <c r="F99" s="362">
        <f t="shared" si="11"/>
        <v>0.23666564098635021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7.3247365747015833E-2</v>
      </c>
      <c r="D100" s="366">
        <f>IF(LN_IC14=0,0,LN_IC15/LN_IC14)</f>
        <v>8.1154968577927172E-2</v>
      </c>
      <c r="E100" s="367">
        <f t="shared" si="10"/>
        <v>7.9076028309113394E-3</v>
      </c>
      <c r="F100" s="362">
        <f t="shared" si="11"/>
        <v>0.10795750468655595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3.357703188642478</v>
      </c>
      <c r="D101" s="366">
        <f>IF(LN_IC1=0,0,LN_IC14/LN_IC1)</f>
        <v>3.5155486152832678</v>
      </c>
      <c r="E101" s="367">
        <f t="shared" si="10"/>
        <v>0.15784542664078982</v>
      </c>
      <c r="F101" s="362">
        <f t="shared" si="11"/>
        <v>4.7009940358845967E-2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879.71823542432924</v>
      </c>
      <c r="D102" s="376">
        <f>LN_IC17*LN_IC4</f>
        <v>1040.6023901238473</v>
      </c>
      <c r="E102" s="376">
        <f t="shared" si="10"/>
        <v>160.88415469951804</v>
      </c>
      <c r="F102" s="362">
        <f t="shared" si="11"/>
        <v>0.18288145933671146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2759.5847195653819</v>
      </c>
      <c r="D103" s="378">
        <f>IF(LN_IC18=0,0,LN_IC15/LN_IC18)</f>
        <v>2885.0596812896933</v>
      </c>
      <c r="E103" s="378">
        <f t="shared" si="10"/>
        <v>125.47496172431147</v>
      </c>
      <c r="F103" s="362">
        <f t="shared" si="11"/>
        <v>4.546878406547817E-2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9497.2359380162816</v>
      </c>
      <c r="D104" s="378">
        <f>LN_IB18-LN_IC19</f>
        <v>9602.0713957286025</v>
      </c>
      <c r="E104" s="378">
        <f t="shared" si="10"/>
        <v>104.83545771232093</v>
      </c>
      <c r="F104" s="362">
        <f t="shared" si="11"/>
        <v>1.1038523039390581E-2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6982.5154038375586</v>
      </c>
      <c r="D105" s="378">
        <f>LN_IA16-LN_IC19</f>
        <v>6938.8884317062093</v>
      </c>
      <c r="E105" s="378">
        <f t="shared" si="10"/>
        <v>-43.626972131349248</v>
      </c>
      <c r="F105" s="362">
        <f t="shared" si="11"/>
        <v>-6.2480309183954056E-3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6142646.1298871748</v>
      </c>
      <c r="D106" s="361">
        <f>LN_IC21*LN_IC18</f>
        <v>7220623.8868361954</v>
      </c>
      <c r="E106" s="361">
        <f t="shared" si="10"/>
        <v>1077977.7569490205</v>
      </c>
      <c r="F106" s="362">
        <f t="shared" si="11"/>
        <v>0.17549077940597896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43014082</v>
      </c>
      <c r="D109" s="361">
        <f>LN_IC1+LN_IC14</f>
        <v>47516224</v>
      </c>
      <c r="E109" s="361">
        <f>D109-C109</f>
        <v>4502142</v>
      </c>
      <c r="F109" s="362">
        <f>IF(C109=0,0,E109/C109)</f>
        <v>0.10466669961711608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5198394</v>
      </c>
      <c r="D110" s="361">
        <f>LN_IC2+LN_IC15</f>
        <v>4362981</v>
      </c>
      <c r="E110" s="361">
        <f>D110-C110</f>
        <v>-835413</v>
      </c>
      <c r="F110" s="362">
        <f>IF(C110=0,0,E110/C110)</f>
        <v>-0.16070597957753877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37815688</v>
      </c>
      <c r="D111" s="361">
        <f>LN_IC23-LN_IC24</f>
        <v>43153243</v>
      </c>
      <c r="E111" s="361">
        <f>D111-C111</f>
        <v>5337555</v>
      </c>
      <c r="F111" s="362">
        <f>IF(C111=0,0,E111/C111)</f>
        <v>0.14114657916576845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6513162.0501865735</v>
      </c>
      <c r="D113" s="361">
        <f>LN_IC10+LN_IC22</f>
        <v>9220077.670901617</v>
      </c>
      <c r="E113" s="361">
        <f>D113-C113</f>
        <v>2706915.6207150435</v>
      </c>
      <c r="F113" s="362">
        <f>IF(C113=0,0,E113/C113)</f>
        <v>0.41560698165609167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177982732</v>
      </c>
      <c r="D118" s="361">
        <v>186325210</v>
      </c>
      <c r="E118" s="361">
        <f t="shared" ref="E118:E130" si="12">D118-C118</f>
        <v>8342478</v>
      </c>
      <c r="F118" s="362">
        <f t="shared" ref="F118:F130" si="13">IF(C118=0,0,E118/C118)</f>
        <v>4.687240108214543E-2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45929919</v>
      </c>
      <c r="D119" s="361">
        <v>49170715</v>
      </c>
      <c r="E119" s="361">
        <f t="shared" si="12"/>
        <v>3240796</v>
      </c>
      <c r="F119" s="362">
        <f t="shared" si="13"/>
        <v>7.0559584483482318E-2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0.25805828736239422</v>
      </c>
      <c r="D120" s="366">
        <f>IF(LN_ID1=0,0,LN_1D2/LN_ID1)</f>
        <v>0.26389727401890489</v>
      </c>
      <c r="E120" s="367">
        <f t="shared" si="12"/>
        <v>5.8389866565106696E-3</v>
      </c>
      <c r="F120" s="362">
        <f t="shared" si="13"/>
        <v>2.2626619420716039E-2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6004</v>
      </c>
      <c r="D121" s="369">
        <v>5984</v>
      </c>
      <c r="E121" s="369">
        <f t="shared" si="12"/>
        <v>-20</v>
      </c>
      <c r="F121" s="362">
        <f t="shared" si="13"/>
        <v>-3.3311125916055963E-3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0.99748999999999999</v>
      </c>
      <c r="D122" s="372">
        <v>0.97424999999999995</v>
      </c>
      <c r="E122" s="373">
        <f t="shared" si="12"/>
        <v>-2.3240000000000038E-2</v>
      </c>
      <c r="F122" s="362">
        <f t="shared" si="13"/>
        <v>-2.3298479182748737E-2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5988.9299599999995</v>
      </c>
      <c r="D123" s="376">
        <f>LN_ID4*LN_ID5</f>
        <v>5829.9119999999994</v>
      </c>
      <c r="E123" s="376">
        <f t="shared" si="12"/>
        <v>-159.01796000000013</v>
      </c>
      <c r="F123" s="362">
        <f t="shared" si="13"/>
        <v>-2.6551981916983405E-2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7669.1361072454429</v>
      </c>
      <c r="D124" s="378">
        <f>IF(LN_ID6=0,0,LN_1D2/LN_ID6)</f>
        <v>8434.2122145239937</v>
      </c>
      <c r="E124" s="378">
        <f t="shared" si="12"/>
        <v>765.07610727855081</v>
      </c>
      <c r="F124" s="362">
        <f t="shared" si="13"/>
        <v>9.9760402811959817E-2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5171.5994889802996</v>
      </c>
      <c r="D125" s="378">
        <f>LN_IB7-LN_ID7</f>
        <v>4020.1735828545134</v>
      </c>
      <c r="E125" s="378">
        <f t="shared" si="12"/>
        <v>-1151.4259061257862</v>
      </c>
      <c r="F125" s="362">
        <f t="shared" si="13"/>
        <v>-0.22264405984633132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2767.7827992056909</v>
      </c>
      <c r="D126" s="378">
        <f>LN_IA7-LN_ID7</f>
        <v>2114.343362388383</v>
      </c>
      <c r="E126" s="378">
        <f t="shared" si="12"/>
        <v>-653.43943681730798</v>
      </c>
      <c r="F126" s="362">
        <f t="shared" si="13"/>
        <v>-0.23608768614532707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16576057.328935625</v>
      </c>
      <c r="D127" s="391">
        <f>LN_ID9*LN_ID6</f>
        <v>12326435.740508381</v>
      </c>
      <c r="E127" s="391">
        <f t="shared" si="12"/>
        <v>-4249621.5884272438</v>
      </c>
      <c r="F127" s="362">
        <f t="shared" si="13"/>
        <v>-0.25637107208895726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27110</v>
      </c>
      <c r="D128" s="369">
        <v>26620</v>
      </c>
      <c r="E128" s="369">
        <f t="shared" si="12"/>
        <v>-490</v>
      </c>
      <c r="F128" s="362">
        <f t="shared" si="13"/>
        <v>-1.8074511250461084E-2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1694.2057912209516</v>
      </c>
      <c r="D129" s="378">
        <f>IF(LN_ID11=0,0,LN_1D2/LN_ID11)</f>
        <v>1847.1342975206612</v>
      </c>
      <c r="E129" s="378">
        <f t="shared" si="12"/>
        <v>152.92850629970962</v>
      </c>
      <c r="F129" s="362">
        <f t="shared" si="13"/>
        <v>9.0265602379684756E-2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4.515323117921386</v>
      </c>
      <c r="D130" s="379">
        <f>IF(LN_ID4=0,0,LN_ID11/LN_ID4)</f>
        <v>4.4485294117647056</v>
      </c>
      <c r="E130" s="379">
        <f t="shared" si="12"/>
        <v>-6.6793706156680344E-2</v>
      </c>
      <c r="F130" s="362">
        <f t="shared" si="13"/>
        <v>-1.4792674723891876E-2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158446128</v>
      </c>
      <c r="D133" s="361">
        <v>189897024</v>
      </c>
      <c r="E133" s="361">
        <f t="shared" ref="E133:E141" si="14">D133-C133</f>
        <v>31450896</v>
      </c>
      <c r="F133" s="362">
        <f t="shared" ref="F133:F141" si="15">IF(C133=0,0,E133/C133)</f>
        <v>0.19849583197135623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27051433</v>
      </c>
      <c r="D134" s="361">
        <v>31374997</v>
      </c>
      <c r="E134" s="361">
        <f t="shared" si="14"/>
        <v>4323564</v>
      </c>
      <c r="F134" s="362">
        <f t="shared" si="15"/>
        <v>0.15982754037466332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0.17072953022872228</v>
      </c>
      <c r="D135" s="366">
        <f>IF(LN_ID14=0,0,LN_ID15/LN_ID14)</f>
        <v>0.16522110952091593</v>
      </c>
      <c r="E135" s="367">
        <f t="shared" si="14"/>
        <v>-5.5084207078063552E-3</v>
      </c>
      <c r="F135" s="362">
        <f t="shared" si="15"/>
        <v>-3.2264018418060751E-2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0.89023314913493967</v>
      </c>
      <c r="D136" s="366">
        <f>IF(LN_ID1=0,0,LN_ID14/LN_ID1)</f>
        <v>1.019169783841918</v>
      </c>
      <c r="E136" s="367">
        <f t="shared" si="14"/>
        <v>0.12893663470697836</v>
      </c>
      <c r="F136" s="362">
        <f t="shared" si="15"/>
        <v>0.14483468160253199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5344.9598274061782</v>
      </c>
      <c r="D137" s="376">
        <f>LN_ID17*LN_ID4</f>
        <v>6098.7119865100376</v>
      </c>
      <c r="E137" s="376">
        <f t="shared" si="14"/>
        <v>753.75215910385941</v>
      </c>
      <c r="F137" s="362">
        <f t="shared" si="15"/>
        <v>0.14102110837933893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5061.1106301106884</v>
      </c>
      <c r="D138" s="378">
        <f>IF(LN_ID18=0,0,LN_ID15/LN_ID18)</f>
        <v>5144.5283970450637</v>
      </c>
      <c r="E138" s="378">
        <f t="shared" si="14"/>
        <v>83.417766934375322</v>
      </c>
      <c r="F138" s="362">
        <f t="shared" si="15"/>
        <v>1.6482106998034728E-2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7195.7100274709755</v>
      </c>
      <c r="D139" s="378">
        <f>LN_IB18-LN_ID19</f>
        <v>7342.6026799732317</v>
      </c>
      <c r="E139" s="378">
        <f t="shared" si="14"/>
        <v>146.89265250225617</v>
      </c>
      <c r="F139" s="362">
        <f t="shared" si="15"/>
        <v>2.0413920508395401E-2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4680.9894932922525</v>
      </c>
      <c r="D140" s="378">
        <f>LN_IA16-LN_ID19</f>
        <v>4679.4197159508385</v>
      </c>
      <c r="E140" s="378">
        <f t="shared" si="14"/>
        <v>-1.5697773414140102</v>
      </c>
      <c r="F140" s="362">
        <f t="shared" si="15"/>
        <v>-3.3535160539528323E-4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25019700.79415749</v>
      </c>
      <c r="D141" s="353">
        <f>LN_ID21*LN_ID18</f>
        <v>28538433.111580774</v>
      </c>
      <c r="E141" s="353">
        <f t="shared" si="14"/>
        <v>3518732.3174232841</v>
      </c>
      <c r="F141" s="362">
        <f t="shared" si="15"/>
        <v>0.14063846511885408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336428860</v>
      </c>
      <c r="D144" s="361">
        <f>LN_ID1+LN_ID14</f>
        <v>376222234</v>
      </c>
      <c r="E144" s="361">
        <f>D144-C144</f>
        <v>39793374</v>
      </c>
      <c r="F144" s="362">
        <f>IF(C144=0,0,E144/C144)</f>
        <v>0.11828168962674605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72981352</v>
      </c>
      <c r="D145" s="361">
        <f>LN_1D2+LN_ID15</f>
        <v>80545712</v>
      </c>
      <c r="E145" s="361">
        <f>D145-C145</f>
        <v>7564360</v>
      </c>
      <c r="F145" s="362">
        <f>IF(C145=0,0,E145/C145)</f>
        <v>0.10364784691848405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263447508</v>
      </c>
      <c r="D146" s="361">
        <f>LN_ID23-LN_ID24</f>
        <v>295676522</v>
      </c>
      <c r="E146" s="361">
        <f>D146-C146</f>
        <v>32229014</v>
      </c>
      <c r="F146" s="362">
        <f>IF(C146=0,0,E146/C146)</f>
        <v>0.12233561913214226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41595758.123093113</v>
      </c>
      <c r="D148" s="361">
        <f>LN_ID10+LN_ID22</f>
        <v>40864868.852089152</v>
      </c>
      <c r="E148" s="361">
        <f>D148-C148</f>
        <v>-730889.27100396156</v>
      </c>
      <c r="F148" s="415">
        <f>IF(C148=0,0,E148/C148)</f>
        <v>-1.7571245338071789E-2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12840.735596225742</v>
      </c>
      <c r="D160" s="378">
        <f>LN_IB7-LN_IE7</f>
        <v>12454.385797378507</v>
      </c>
      <c r="E160" s="378">
        <f t="shared" si="16"/>
        <v>-386.34979884723543</v>
      </c>
      <c r="F160" s="362">
        <f t="shared" si="17"/>
        <v>-3.0087824482640593E-2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10436.918906451134</v>
      </c>
      <c r="D161" s="378">
        <f>LN_IA7-LN_IE7</f>
        <v>10548.555576912377</v>
      </c>
      <c r="E161" s="378">
        <f t="shared" si="16"/>
        <v>111.63667046124283</v>
      </c>
      <c r="F161" s="362">
        <f t="shared" si="17"/>
        <v>1.0696324409710552E-2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12256.820657581664</v>
      </c>
      <c r="D174" s="378">
        <f>LN_IB18-LN_IE19</f>
        <v>12487.131077018295</v>
      </c>
      <c r="E174" s="378">
        <f t="shared" si="18"/>
        <v>230.31041943663149</v>
      </c>
      <c r="F174" s="362">
        <f t="shared" si="19"/>
        <v>1.8790388296508937E-2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9742.1001234029409</v>
      </c>
      <c r="D175" s="378">
        <f>LN_IA16-LN_IE19</f>
        <v>9823.9481129959022</v>
      </c>
      <c r="E175" s="378">
        <f t="shared" si="18"/>
        <v>81.847989592961312</v>
      </c>
      <c r="F175" s="362">
        <f t="shared" si="19"/>
        <v>8.4014728401674028E-3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177982732</v>
      </c>
      <c r="D188" s="361">
        <f>LN_ID1+LN_IE1</f>
        <v>186325210</v>
      </c>
      <c r="E188" s="361">
        <f t="shared" ref="E188:E200" si="20">D188-C188</f>
        <v>8342478</v>
      </c>
      <c r="F188" s="362">
        <f t="shared" ref="F188:F200" si="21">IF(C188=0,0,E188/C188)</f>
        <v>4.687240108214543E-2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45929919</v>
      </c>
      <c r="D189" s="361">
        <f>LN_1D2+LN_IE2</f>
        <v>49170715</v>
      </c>
      <c r="E189" s="361">
        <f t="shared" si="20"/>
        <v>3240796</v>
      </c>
      <c r="F189" s="362">
        <f t="shared" si="21"/>
        <v>7.0559584483482318E-2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0.25805828736239422</v>
      </c>
      <c r="D190" s="366">
        <f>IF(LN_IF1=0,0,LN_IF2/LN_IF1)</f>
        <v>0.26389727401890489</v>
      </c>
      <c r="E190" s="367">
        <f t="shared" si="20"/>
        <v>5.8389866565106696E-3</v>
      </c>
      <c r="F190" s="362">
        <f t="shared" si="21"/>
        <v>2.2626619420716039E-2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6004</v>
      </c>
      <c r="D191" s="369">
        <f>LN_ID4+LN_IE4</f>
        <v>5984</v>
      </c>
      <c r="E191" s="369">
        <f t="shared" si="20"/>
        <v>-20</v>
      </c>
      <c r="F191" s="362">
        <f t="shared" si="21"/>
        <v>-3.3311125916055963E-3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0.99748999999999988</v>
      </c>
      <c r="D192" s="372">
        <f>IF((LN_ID4+LN_IE4)=0,0,(LN_ID6+LN_IE6)/(LN_ID4+LN_IE4))</f>
        <v>0.97424999999999984</v>
      </c>
      <c r="E192" s="373">
        <f t="shared" si="20"/>
        <v>-2.3240000000000038E-2</v>
      </c>
      <c r="F192" s="362">
        <f t="shared" si="21"/>
        <v>-2.329847918274874E-2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5988.9299599999995</v>
      </c>
      <c r="D193" s="376">
        <f>LN_IF4*LN_IF5</f>
        <v>5829.9119999999994</v>
      </c>
      <c r="E193" s="376">
        <f t="shared" si="20"/>
        <v>-159.01796000000013</v>
      </c>
      <c r="F193" s="362">
        <f t="shared" si="21"/>
        <v>-2.6551981916983405E-2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7669.1361072454429</v>
      </c>
      <c r="D194" s="378">
        <f>IF(LN_IF6=0,0,LN_IF2/LN_IF6)</f>
        <v>8434.2122145239937</v>
      </c>
      <c r="E194" s="378">
        <f t="shared" si="20"/>
        <v>765.07610727855081</v>
      </c>
      <c r="F194" s="362">
        <f t="shared" si="21"/>
        <v>9.9760402811959817E-2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5171.5994889802996</v>
      </c>
      <c r="D195" s="378">
        <f>LN_IB7-LN_IF7</f>
        <v>4020.1735828545134</v>
      </c>
      <c r="E195" s="378">
        <f t="shared" si="20"/>
        <v>-1151.4259061257862</v>
      </c>
      <c r="F195" s="362">
        <f t="shared" si="21"/>
        <v>-0.22264405984633132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2767.7827992056909</v>
      </c>
      <c r="D196" s="378">
        <f>LN_IA7-LN_IF7</f>
        <v>2114.343362388383</v>
      </c>
      <c r="E196" s="378">
        <f t="shared" si="20"/>
        <v>-653.43943681730798</v>
      </c>
      <c r="F196" s="362">
        <f t="shared" si="21"/>
        <v>-0.23608768614532707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16576057.328935625</v>
      </c>
      <c r="D197" s="391">
        <f>LN_IF9*LN_IF6</f>
        <v>12326435.740508381</v>
      </c>
      <c r="E197" s="391">
        <f t="shared" si="20"/>
        <v>-4249621.5884272438</v>
      </c>
      <c r="F197" s="362">
        <f t="shared" si="21"/>
        <v>-0.25637107208895726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27110</v>
      </c>
      <c r="D198" s="369">
        <f>LN_ID11+LN_IE11</f>
        <v>26620</v>
      </c>
      <c r="E198" s="369">
        <f t="shared" si="20"/>
        <v>-490</v>
      </c>
      <c r="F198" s="362">
        <f t="shared" si="21"/>
        <v>-1.8074511250461084E-2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1694.2057912209516</v>
      </c>
      <c r="D199" s="432">
        <f>IF(LN_IF11=0,0,LN_IF2/LN_IF11)</f>
        <v>1847.1342975206612</v>
      </c>
      <c r="E199" s="432">
        <f t="shared" si="20"/>
        <v>152.92850629970962</v>
      </c>
      <c r="F199" s="362">
        <f t="shared" si="21"/>
        <v>9.0265602379684756E-2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4.515323117921386</v>
      </c>
      <c r="D200" s="379">
        <f>IF(LN_IF4=0,0,LN_IF11/LN_IF4)</f>
        <v>4.4485294117647056</v>
      </c>
      <c r="E200" s="379">
        <f t="shared" si="20"/>
        <v>-6.6793706156680344E-2</v>
      </c>
      <c r="F200" s="362">
        <f t="shared" si="21"/>
        <v>-1.4792674723891876E-2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158446128</v>
      </c>
      <c r="D203" s="361">
        <f>LN_ID14+LN_IE14</f>
        <v>189897024</v>
      </c>
      <c r="E203" s="361">
        <f t="shared" ref="E203:E211" si="22">D203-C203</f>
        <v>31450896</v>
      </c>
      <c r="F203" s="362">
        <f t="shared" ref="F203:F211" si="23">IF(C203=0,0,E203/C203)</f>
        <v>0.19849583197135623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27051433</v>
      </c>
      <c r="D204" s="361">
        <f>LN_ID15+LN_IE15</f>
        <v>31374997</v>
      </c>
      <c r="E204" s="361">
        <f t="shared" si="22"/>
        <v>4323564</v>
      </c>
      <c r="F204" s="362">
        <f t="shared" si="23"/>
        <v>0.15982754037466332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0.17072953022872228</v>
      </c>
      <c r="D205" s="366">
        <f>IF(LN_IF14=0,0,LN_IF15/LN_IF14)</f>
        <v>0.16522110952091593</v>
      </c>
      <c r="E205" s="367">
        <f t="shared" si="22"/>
        <v>-5.5084207078063552E-3</v>
      </c>
      <c r="F205" s="362">
        <f t="shared" si="23"/>
        <v>-3.2264018418060751E-2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0.89023314913493967</v>
      </c>
      <c r="D206" s="366">
        <f>IF(LN_IF1=0,0,LN_IF14/LN_IF1)</f>
        <v>1.019169783841918</v>
      </c>
      <c r="E206" s="367">
        <f t="shared" si="22"/>
        <v>0.12893663470697836</v>
      </c>
      <c r="F206" s="362">
        <f t="shared" si="23"/>
        <v>0.14483468160253199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5344.9598274061782</v>
      </c>
      <c r="D207" s="376">
        <f>LN_ID18+LN_IE18</f>
        <v>6098.7119865100376</v>
      </c>
      <c r="E207" s="376">
        <f t="shared" si="22"/>
        <v>753.75215910385941</v>
      </c>
      <c r="F207" s="362">
        <f t="shared" si="23"/>
        <v>0.14102110837933893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5061.1106301106884</v>
      </c>
      <c r="D208" s="378">
        <f>IF(LN_IF18=0,0,LN_IF15/LN_IF18)</f>
        <v>5144.5283970450637</v>
      </c>
      <c r="E208" s="378">
        <f t="shared" si="22"/>
        <v>83.417766934375322</v>
      </c>
      <c r="F208" s="362">
        <f t="shared" si="23"/>
        <v>1.6482106998034728E-2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7195.7100274709755</v>
      </c>
      <c r="D209" s="378">
        <f>LN_IB18-LN_IF19</f>
        <v>7342.6026799732317</v>
      </c>
      <c r="E209" s="378">
        <f t="shared" si="22"/>
        <v>146.89265250225617</v>
      </c>
      <c r="F209" s="362">
        <f t="shared" si="23"/>
        <v>2.0413920508395401E-2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4680.9894932922525</v>
      </c>
      <c r="D210" s="378">
        <f>LN_IA16-LN_IF19</f>
        <v>4679.4197159508385</v>
      </c>
      <c r="E210" s="378">
        <f t="shared" si="22"/>
        <v>-1.5697773414140102</v>
      </c>
      <c r="F210" s="362">
        <f t="shared" si="23"/>
        <v>-3.3535160539528323E-4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25019700.79415749</v>
      </c>
      <c r="D211" s="353">
        <f>LN_IF21*LN_IF18</f>
        <v>28538433.111580774</v>
      </c>
      <c r="E211" s="353">
        <f t="shared" si="22"/>
        <v>3518732.3174232841</v>
      </c>
      <c r="F211" s="362">
        <f t="shared" si="23"/>
        <v>0.14063846511885408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336428860</v>
      </c>
      <c r="D214" s="361">
        <f>LN_IF1+LN_IF14</f>
        <v>376222234</v>
      </c>
      <c r="E214" s="361">
        <f>D214-C214</f>
        <v>39793374</v>
      </c>
      <c r="F214" s="362">
        <f>IF(C214=0,0,E214/C214)</f>
        <v>0.11828168962674605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72981352</v>
      </c>
      <c r="D215" s="361">
        <f>LN_IF2+LN_IF15</f>
        <v>80545712</v>
      </c>
      <c r="E215" s="361">
        <f>D215-C215</f>
        <v>7564360</v>
      </c>
      <c r="F215" s="362">
        <f>IF(C215=0,0,E215/C215)</f>
        <v>0.10364784691848405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263447508</v>
      </c>
      <c r="D216" s="361">
        <f>LN_IF23-LN_IF24</f>
        <v>295676522</v>
      </c>
      <c r="E216" s="361">
        <f>D216-C216</f>
        <v>32229014</v>
      </c>
      <c r="F216" s="362">
        <f>IF(C216=0,0,E216/C216)</f>
        <v>0.12233561913214226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822407</v>
      </c>
      <c r="D221" s="361">
        <v>568230</v>
      </c>
      <c r="E221" s="361">
        <f t="shared" ref="E221:E230" si="24">D221-C221</f>
        <v>-254177</v>
      </c>
      <c r="F221" s="362">
        <f t="shared" ref="F221:F230" si="25">IF(C221=0,0,E221/C221)</f>
        <v>-0.30906473315523825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162598</v>
      </c>
      <c r="D222" s="361">
        <v>68895</v>
      </c>
      <c r="E222" s="361">
        <f t="shared" si="24"/>
        <v>-93703</v>
      </c>
      <c r="F222" s="362">
        <f t="shared" si="25"/>
        <v>-0.5762863011845164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0.19770989303349801</v>
      </c>
      <c r="D223" s="366">
        <f>IF(LN_IG1=0,0,LN_IG2/LN_IG1)</f>
        <v>0.12124491843091706</v>
      </c>
      <c r="E223" s="367">
        <f t="shared" si="24"/>
        <v>-7.6464974602580948E-2</v>
      </c>
      <c r="F223" s="362">
        <f t="shared" si="25"/>
        <v>-0.38675340636406841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33</v>
      </c>
      <c r="D224" s="369">
        <v>20</v>
      </c>
      <c r="E224" s="369">
        <f t="shared" si="24"/>
        <v>-13</v>
      </c>
      <c r="F224" s="362">
        <f t="shared" si="25"/>
        <v>-0.39393939393939392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0.87963000000000002</v>
      </c>
      <c r="D225" s="372">
        <v>1.05752</v>
      </c>
      <c r="E225" s="373">
        <f t="shared" si="24"/>
        <v>0.17788999999999999</v>
      </c>
      <c r="F225" s="362">
        <f t="shared" si="25"/>
        <v>0.20223275695462864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29.02779</v>
      </c>
      <c r="D226" s="376">
        <f>LN_IG3*LN_IG4</f>
        <v>21.150400000000001</v>
      </c>
      <c r="E226" s="376">
        <f t="shared" si="24"/>
        <v>-7.8773899999999983</v>
      </c>
      <c r="F226" s="362">
        <f t="shared" si="25"/>
        <v>-0.27137408669416441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5601.4598424475307</v>
      </c>
      <c r="D227" s="378">
        <f>IF(LN_IG5=0,0,LN_IG2/LN_IG5)</f>
        <v>3257.3852031167257</v>
      </c>
      <c r="E227" s="378">
        <f t="shared" si="24"/>
        <v>-2344.074639330805</v>
      </c>
      <c r="F227" s="362">
        <f t="shared" si="25"/>
        <v>-0.41847566621250165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126</v>
      </c>
      <c r="D228" s="369">
        <v>71</v>
      </c>
      <c r="E228" s="369">
        <f t="shared" si="24"/>
        <v>-55</v>
      </c>
      <c r="F228" s="362">
        <f t="shared" si="25"/>
        <v>-0.43650793650793651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1290.4603174603174</v>
      </c>
      <c r="D229" s="378">
        <f>IF(LN_IG6=0,0,LN_IG2/LN_IG6)</f>
        <v>970.35211267605632</v>
      </c>
      <c r="E229" s="378">
        <f t="shared" si="24"/>
        <v>-320.10820478426103</v>
      </c>
      <c r="F229" s="362">
        <f t="shared" si="25"/>
        <v>-0.24805737956688823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3.8181818181818183</v>
      </c>
      <c r="D230" s="379">
        <f>IF(LN_IG3=0,0,LN_IG6/LN_IG3)</f>
        <v>3.55</v>
      </c>
      <c r="E230" s="379">
        <f t="shared" si="24"/>
        <v>-0.26818181818181852</v>
      </c>
      <c r="F230" s="362">
        <f t="shared" si="25"/>
        <v>-7.0238095238095322E-2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1057263</v>
      </c>
      <c r="D233" s="361">
        <v>981256</v>
      </c>
      <c r="E233" s="361">
        <f>D233-C233</f>
        <v>-76007</v>
      </c>
      <c r="F233" s="362">
        <f>IF(C233=0,0,E233/C233)</f>
        <v>-7.1890343273149637E-2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208130</v>
      </c>
      <c r="D234" s="361">
        <v>172831</v>
      </c>
      <c r="E234" s="361">
        <f>D234-C234</f>
        <v>-35299</v>
      </c>
      <c r="F234" s="362">
        <f>IF(C234=0,0,E234/C234)</f>
        <v>-0.16960073031278528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1879670</v>
      </c>
      <c r="D237" s="361">
        <f>LN_IG1+LN_IG9</f>
        <v>1549486</v>
      </c>
      <c r="E237" s="361">
        <f>D237-C237</f>
        <v>-330184</v>
      </c>
      <c r="F237" s="362">
        <f>IF(C237=0,0,E237/C237)</f>
        <v>-0.1756606212792671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370728</v>
      </c>
      <c r="D238" s="361">
        <f>LN_IG2+LN_IG10</f>
        <v>241726</v>
      </c>
      <c r="E238" s="361">
        <f>D238-C238</f>
        <v>-129002</v>
      </c>
      <c r="F238" s="362">
        <f>IF(C238=0,0,E238/C238)</f>
        <v>-0.34796940074663907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1508942</v>
      </c>
      <c r="D239" s="361">
        <f>LN_IG13-LN_IG14</f>
        <v>1307760</v>
      </c>
      <c r="E239" s="361">
        <f>D239-C239</f>
        <v>-201182</v>
      </c>
      <c r="F239" s="362">
        <f>IF(C239=0,0,E239/C239)</f>
        <v>-0.13332652944911069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5964831</v>
      </c>
      <c r="D243" s="361">
        <v>3724703</v>
      </c>
      <c r="E243" s="353">
        <f>D243-C243</f>
        <v>-2240128</v>
      </c>
      <c r="F243" s="415">
        <f>IF(C243=0,0,E243/C243)</f>
        <v>-0.37555598809086127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383278000</v>
      </c>
      <c r="D244" s="361">
        <v>403987000</v>
      </c>
      <c r="E244" s="353">
        <f>D244-C244</f>
        <v>20709000</v>
      </c>
      <c r="F244" s="415">
        <f>IF(C244=0,0,E244/C244)</f>
        <v>5.4031277558325812E-2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13664086</v>
      </c>
      <c r="D248" s="353">
        <v>14777279</v>
      </c>
      <c r="E248" s="353">
        <f>D248-C248</f>
        <v>1113193</v>
      </c>
      <c r="F248" s="362">
        <f>IF(C248=0,0,E248/C248)</f>
        <v>8.1468529984369237E-2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28215688</v>
      </c>
      <c r="D249" s="353">
        <v>30026844</v>
      </c>
      <c r="E249" s="353">
        <f>D249-C249</f>
        <v>1811156</v>
      </c>
      <c r="F249" s="362">
        <f>IF(C249=0,0,E249/C249)</f>
        <v>6.4189680577698471E-2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41879774</v>
      </c>
      <c r="D250" s="353">
        <f>LN_IH4+LN_IH5</f>
        <v>44804123</v>
      </c>
      <c r="E250" s="353">
        <f>D250-C250</f>
        <v>2924349</v>
      </c>
      <c r="F250" s="362">
        <f>IF(C250=0,0,E250/C250)</f>
        <v>6.9827239277843289E-2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11169804.565763125</v>
      </c>
      <c r="D251" s="353">
        <f>LN_IH6*LN_III10</f>
        <v>13271390.777299404</v>
      </c>
      <c r="E251" s="353">
        <f>D251-C251</f>
        <v>2101586.2115362789</v>
      </c>
      <c r="F251" s="362">
        <f>IF(C251=0,0,E251/C251)</f>
        <v>0.18814887934368238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336428860</v>
      </c>
      <c r="D254" s="353">
        <f>LN_IF23</f>
        <v>376222234</v>
      </c>
      <c r="E254" s="353">
        <f>D254-C254</f>
        <v>39793374</v>
      </c>
      <c r="F254" s="362">
        <f>IF(C254=0,0,E254/C254)</f>
        <v>0.11828168962674605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72981352</v>
      </c>
      <c r="D255" s="353">
        <f>LN_IF24</f>
        <v>80545712</v>
      </c>
      <c r="E255" s="353">
        <f>D255-C255</f>
        <v>7564360</v>
      </c>
      <c r="F255" s="362">
        <f>IF(C255=0,0,E255/C255)</f>
        <v>0.10364784691848405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89729343.250096887</v>
      </c>
      <c r="D256" s="353">
        <f>LN_IH8*LN_III10</f>
        <v>111440464.67604282</v>
      </c>
      <c r="E256" s="353">
        <f>D256-C256</f>
        <v>21711121.425945938</v>
      </c>
      <c r="F256" s="362">
        <f>IF(C256=0,0,E256/C256)</f>
        <v>0.24196233516868512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16747991.250096887</v>
      </c>
      <c r="D257" s="353">
        <f>LN_IH10-LN_IH9</f>
        <v>30894752.676042825</v>
      </c>
      <c r="E257" s="353">
        <f>D257-C257</f>
        <v>14146761.425945938</v>
      </c>
      <c r="F257" s="362">
        <f>IF(C257=0,0,E257/C257)</f>
        <v>0.84468407074574381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748047048</v>
      </c>
      <c r="D261" s="361">
        <f>LN_IA1+LN_IB1+LN_IF1+LN_IG1</f>
        <v>766945754</v>
      </c>
      <c r="E261" s="361">
        <f t="shared" ref="E261:E274" si="26">D261-C261</f>
        <v>18898706</v>
      </c>
      <c r="F261" s="415">
        <f t="shared" ref="F261:F274" si="27">IF(C261=0,0,E261/C261)</f>
        <v>2.5264060663735152E-2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258549123</v>
      </c>
      <c r="D262" s="361">
        <f>+LN_IA2+LN_IB2+LN_IF2+LN_IG2</f>
        <v>256320139</v>
      </c>
      <c r="E262" s="361">
        <f t="shared" si="26"/>
        <v>-2228984</v>
      </c>
      <c r="F262" s="415">
        <f t="shared" si="27"/>
        <v>-8.6211238086466076E-3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0.34563216804513075</v>
      </c>
      <c r="D263" s="366">
        <f>IF(LN_IIA1=0,0,LN_IIA2/LN_IIA1)</f>
        <v>0.33420895501821896</v>
      </c>
      <c r="E263" s="367">
        <f t="shared" si="26"/>
        <v>-1.1423213026911794E-2</v>
      </c>
      <c r="F263" s="371">
        <f t="shared" si="27"/>
        <v>-3.3050202160061139E-2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19058</v>
      </c>
      <c r="D264" s="369">
        <f>LN_IA4+LN_IB4+LN_IF4+LN_IG3</f>
        <v>18936</v>
      </c>
      <c r="E264" s="369">
        <f t="shared" si="26"/>
        <v>-122</v>
      </c>
      <c r="F264" s="415">
        <f t="shared" si="27"/>
        <v>-6.4015111764088575E-3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1.2937612078916991</v>
      </c>
      <c r="D265" s="439">
        <f>IF(LN_IIA4=0,0,LN_IIA6/LN_IIA4)</f>
        <v>1.2798160308407267</v>
      </c>
      <c r="E265" s="439">
        <f t="shared" si="26"/>
        <v>-1.3945177050972424E-2</v>
      </c>
      <c r="F265" s="415">
        <f t="shared" si="27"/>
        <v>-1.0778787434581804E-2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24656.501100000001</v>
      </c>
      <c r="D266" s="376">
        <f>LN_IA6+LN_IB6+LN_IF6+LN_IG5</f>
        <v>24234.59636</v>
      </c>
      <c r="E266" s="376">
        <f t="shared" si="26"/>
        <v>-421.90474000000177</v>
      </c>
      <c r="F266" s="415">
        <f t="shared" si="27"/>
        <v>-1.7111298082760077E-2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552492553</v>
      </c>
      <c r="D267" s="361">
        <f>LN_IA11+LN_IB13+LN_IF14+LN_IG9</f>
        <v>623852109</v>
      </c>
      <c r="E267" s="361">
        <f t="shared" si="26"/>
        <v>71359556</v>
      </c>
      <c r="F267" s="415">
        <f t="shared" si="27"/>
        <v>0.12915930832464995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0.73857995225990114</v>
      </c>
      <c r="D268" s="366">
        <f>IF(LN_IIA1=0,0,LN_IIA7/LN_IIA1)</f>
        <v>0.81342403389849138</v>
      </c>
      <c r="E268" s="367">
        <f t="shared" si="26"/>
        <v>7.4844081638590243E-2</v>
      </c>
      <c r="F268" s="371">
        <f t="shared" si="27"/>
        <v>0.10133511126260997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141385862</v>
      </c>
      <c r="D269" s="361">
        <f>LN_IA12+LN_IB14+LN_IF15+LN_IG10</f>
        <v>155646900</v>
      </c>
      <c r="E269" s="361">
        <f t="shared" si="26"/>
        <v>14261038</v>
      </c>
      <c r="F269" s="415">
        <f t="shared" si="27"/>
        <v>0.1008660823527037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0.25590546195108627</v>
      </c>
      <c r="D270" s="366">
        <f>IF(LN_IIA7=0,0,LN_IIA9/LN_IIA7)</f>
        <v>0.24949326571884684</v>
      </c>
      <c r="E270" s="367">
        <f t="shared" si="26"/>
        <v>-6.412196232239431E-3</v>
      </c>
      <c r="F270" s="371">
        <f t="shared" si="27"/>
        <v>-2.5056894774153189E-2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1300539601</v>
      </c>
      <c r="D271" s="353">
        <f>LN_IIA1+LN_IIA7</f>
        <v>1390797863</v>
      </c>
      <c r="E271" s="353">
        <f t="shared" si="26"/>
        <v>90258262</v>
      </c>
      <c r="F271" s="415">
        <f t="shared" si="27"/>
        <v>6.9400625656150239E-2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399934985</v>
      </c>
      <c r="D272" s="353">
        <f>LN_IIA2+LN_IIA9</f>
        <v>411967039</v>
      </c>
      <c r="E272" s="353">
        <f t="shared" si="26"/>
        <v>12032054</v>
      </c>
      <c r="F272" s="415">
        <f t="shared" si="27"/>
        <v>3.0085024944741957E-2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0.30751465368104541</v>
      </c>
      <c r="D273" s="366">
        <f>IF(LN_IIA11=0,0,LN_IIA12/LN_IIA11)</f>
        <v>0.29620914006250526</v>
      </c>
      <c r="E273" s="367">
        <f t="shared" si="26"/>
        <v>-1.1305513618540153E-2</v>
      </c>
      <c r="F273" s="371">
        <f t="shared" si="27"/>
        <v>-3.6764145978767718E-2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104095</v>
      </c>
      <c r="D274" s="421">
        <f>LN_IA8+LN_IB10+LN_IF11+LN_IG6</f>
        <v>100830</v>
      </c>
      <c r="E274" s="442">
        <f t="shared" si="26"/>
        <v>-3265</v>
      </c>
      <c r="F274" s="371">
        <f t="shared" si="27"/>
        <v>-3.1365579518708872E-2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534646897</v>
      </c>
      <c r="D277" s="361">
        <f>LN_IA1+LN_IF1+LN_IG1</f>
        <v>561592147</v>
      </c>
      <c r="E277" s="361">
        <f t="shared" ref="E277:E291" si="28">D277-C277</f>
        <v>26945250</v>
      </c>
      <c r="F277" s="415">
        <f t="shared" ref="F277:F291" si="29">IF(C277=0,0,E277/C277)</f>
        <v>5.039821637644331E-2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162783047</v>
      </c>
      <c r="D278" s="361">
        <f>LN_IA2+LN_IF2+LN_IG2</f>
        <v>170315798</v>
      </c>
      <c r="E278" s="361">
        <f t="shared" si="28"/>
        <v>7532751</v>
      </c>
      <c r="F278" s="415">
        <f t="shared" si="29"/>
        <v>4.6274788061928834E-2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0.30446832837411941</v>
      </c>
      <c r="D279" s="366">
        <f>IF(D277=0,0,LN_IIB2/D277)</f>
        <v>0.30327311183003419</v>
      </c>
      <c r="E279" s="367">
        <f t="shared" si="28"/>
        <v>-1.1952165440852203E-3</v>
      </c>
      <c r="F279" s="371">
        <f t="shared" si="29"/>
        <v>-3.9255857923474469E-3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12969</v>
      </c>
      <c r="D280" s="369">
        <f>LN_IA4+LN_IF4+LN_IG3</f>
        <v>13264</v>
      </c>
      <c r="E280" s="369">
        <f t="shared" si="28"/>
        <v>295</v>
      </c>
      <c r="F280" s="415">
        <f t="shared" si="29"/>
        <v>2.2746549464106716E-2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1.3261246996684399</v>
      </c>
      <c r="D281" s="439">
        <f>IF(LN_IIB4=0,0,LN_IIB6/LN_IIB4)</f>
        <v>1.3064723914354641</v>
      </c>
      <c r="E281" s="439">
        <f t="shared" si="28"/>
        <v>-1.9652308232975813E-2</v>
      </c>
      <c r="F281" s="415">
        <f t="shared" si="29"/>
        <v>-1.4819351632534495E-2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17198.511229999996</v>
      </c>
      <c r="D282" s="376">
        <f>LN_IA6+LN_IF6+LN_IG5</f>
        <v>17329.049799999997</v>
      </c>
      <c r="E282" s="376">
        <f t="shared" si="28"/>
        <v>130.53857000000062</v>
      </c>
      <c r="F282" s="415">
        <f t="shared" si="29"/>
        <v>7.5901087166369017E-3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305256967</v>
      </c>
      <c r="D283" s="361">
        <f>LN_IA11+LN_IF14+LN_IG9</f>
        <v>354148645</v>
      </c>
      <c r="E283" s="361">
        <f t="shared" si="28"/>
        <v>48891678</v>
      </c>
      <c r="F283" s="415">
        <f t="shared" si="29"/>
        <v>0.16016564169033365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0.57095060069150649</v>
      </c>
      <c r="D284" s="366">
        <f>IF(D277=0,0,LN_IIB7/D277)</f>
        <v>0.63061537966983006</v>
      </c>
      <c r="E284" s="367">
        <f t="shared" si="28"/>
        <v>5.9664778978323563E-2</v>
      </c>
      <c r="F284" s="371">
        <f t="shared" si="29"/>
        <v>0.10450077275697862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54920918</v>
      </c>
      <c r="D285" s="361">
        <f>LN_IA12+LN_IF15+LN_IG10</f>
        <v>62625455</v>
      </c>
      <c r="E285" s="361">
        <f t="shared" si="28"/>
        <v>7704537</v>
      </c>
      <c r="F285" s="415">
        <f t="shared" si="29"/>
        <v>0.14028419918254098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0.17991700087880386</v>
      </c>
      <c r="D286" s="366">
        <f>IF(LN_IIB7=0,0,LN_IIB9/LN_IIB7)</f>
        <v>0.17683381225417366</v>
      </c>
      <c r="E286" s="367">
        <f t="shared" si="28"/>
        <v>-3.0831886246301954E-3</v>
      </c>
      <c r="F286" s="371">
        <f t="shared" si="29"/>
        <v>-1.713672754420301E-2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839903864</v>
      </c>
      <c r="D287" s="353">
        <f>D277+LN_IIB7</f>
        <v>915740792</v>
      </c>
      <c r="E287" s="353">
        <f t="shared" si="28"/>
        <v>75836928</v>
      </c>
      <c r="F287" s="415">
        <f t="shared" si="29"/>
        <v>9.0292390892012853E-2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217703965</v>
      </c>
      <c r="D288" s="353">
        <f>LN_IIB2+LN_IIB9</f>
        <v>232941253</v>
      </c>
      <c r="E288" s="353">
        <f t="shared" si="28"/>
        <v>15237288</v>
      </c>
      <c r="F288" s="415">
        <f t="shared" si="29"/>
        <v>6.999086121375879E-2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0.25920105184800057</v>
      </c>
      <c r="D289" s="366">
        <f>IF(LN_IIB11=0,0,LN_IIB12/LN_IIB11)</f>
        <v>0.25437466042246593</v>
      </c>
      <c r="E289" s="367">
        <f t="shared" si="28"/>
        <v>-4.8263914255346485E-3</v>
      </c>
      <c r="F289" s="371">
        <f t="shared" si="29"/>
        <v>-1.8620261727814738E-2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78575</v>
      </c>
      <c r="D290" s="421">
        <f>LN_IA8+LN_IF11+LN_IG6</f>
        <v>77376</v>
      </c>
      <c r="E290" s="442">
        <f t="shared" si="28"/>
        <v>-1199</v>
      </c>
      <c r="F290" s="371">
        <f t="shared" si="29"/>
        <v>-1.5259306395163857E-2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622199899</v>
      </c>
      <c r="D291" s="429">
        <f>LN_IIB11-LN_IIB12</f>
        <v>682799539</v>
      </c>
      <c r="E291" s="353">
        <f t="shared" si="28"/>
        <v>60599640</v>
      </c>
      <c r="F291" s="415">
        <f t="shared" si="29"/>
        <v>9.7395772801306735E-2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7.4060877091748409</v>
      </c>
      <c r="D294" s="379">
        <f>IF(LN_IA4=0,0,LN_IA8/LN_IA4)</f>
        <v>6.9814049586776861</v>
      </c>
      <c r="E294" s="379">
        <f t="shared" ref="E294:E300" si="30">D294-C294</f>
        <v>-0.42468275049715487</v>
      </c>
      <c r="F294" s="415">
        <f t="shared" ref="F294:F300" si="31">IF(C294=0,0,E294/C294)</f>
        <v>-5.7342387394500823E-2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4.1911643948103139</v>
      </c>
      <c r="D295" s="379">
        <f>IF(LN_IB4=0,0,(LN_IB10)/(LN_IB4))</f>
        <v>4.1350493653032441</v>
      </c>
      <c r="E295" s="379">
        <f t="shared" si="30"/>
        <v>-5.6115029507069814E-2</v>
      </c>
      <c r="F295" s="415">
        <f t="shared" si="31"/>
        <v>-1.338888772212179E-2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4.221374045801527</v>
      </c>
      <c r="D296" s="379">
        <f>IF(LN_IC4=0,0,LN_IC11/LN_IC4)</f>
        <v>4.5</v>
      </c>
      <c r="E296" s="379">
        <f t="shared" si="30"/>
        <v>0.27862595419847302</v>
      </c>
      <c r="F296" s="415">
        <f t="shared" si="31"/>
        <v>6.600361663652797E-2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4.515323117921386</v>
      </c>
      <c r="D297" s="379">
        <f>IF(LN_ID4=0,0,LN_ID11/LN_ID4)</f>
        <v>4.4485294117647056</v>
      </c>
      <c r="E297" s="379">
        <f t="shared" si="30"/>
        <v>-6.6793706156680344E-2</v>
      </c>
      <c r="F297" s="415">
        <f t="shared" si="31"/>
        <v>-1.4792674723891876E-2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3.8181818181818183</v>
      </c>
      <c r="D299" s="379">
        <f>IF(LN_IG3=0,0,LN_IG6/LN_IG3)</f>
        <v>3.55</v>
      </c>
      <c r="E299" s="379">
        <f t="shared" si="30"/>
        <v>-0.26818181818181852</v>
      </c>
      <c r="F299" s="415">
        <f t="shared" si="31"/>
        <v>-7.0238095238095322E-2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5.4620107041662296</v>
      </c>
      <c r="D300" s="379">
        <f>IF(LN_IIA4=0,0,LN_IIA14/LN_IIA4)</f>
        <v>5.3247782002534851</v>
      </c>
      <c r="E300" s="379">
        <f t="shared" si="30"/>
        <v>-0.13723250391274444</v>
      </c>
      <c r="F300" s="415">
        <f t="shared" si="31"/>
        <v>-2.5124905706989609E-2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1300539601</v>
      </c>
      <c r="D304" s="353">
        <f>LN_IIA11</f>
        <v>1390797863</v>
      </c>
      <c r="E304" s="353">
        <f t="shared" ref="E304:E316" si="32">D304-C304</f>
        <v>90258262</v>
      </c>
      <c r="F304" s="362">
        <f>IF(C304=0,0,E304/C304)</f>
        <v>6.9400625656150239E-2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622199899</v>
      </c>
      <c r="D305" s="353">
        <f>LN_IIB14</f>
        <v>682799539</v>
      </c>
      <c r="E305" s="353">
        <f t="shared" si="32"/>
        <v>60599640</v>
      </c>
      <c r="F305" s="362">
        <f>IF(C305=0,0,E305/C305)</f>
        <v>9.7395772801306735E-2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41879774</v>
      </c>
      <c r="D306" s="353">
        <f>LN_IH6</f>
        <v>44804123</v>
      </c>
      <c r="E306" s="353">
        <f t="shared" si="32"/>
        <v>2924349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288477470</v>
      </c>
      <c r="D307" s="353">
        <f>LN_IB32-LN_IB33</f>
        <v>250063405</v>
      </c>
      <c r="E307" s="353">
        <f t="shared" si="32"/>
        <v>-38414065</v>
      </c>
      <c r="F307" s="362">
        <f t="shared" ref="F307:F316" si="33">IF(C307=0,0,E307/C307)</f>
        <v>-0.13316140425108414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1113987</v>
      </c>
      <c r="D308" s="353">
        <v>1163756</v>
      </c>
      <c r="E308" s="353">
        <f t="shared" si="32"/>
        <v>49769</v>
      </c>
      <c r="F308" s="362">
        <f t="shared" si="33"/>
        <v>4.4676463908465719E-2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953671130</v>
      </c>
      <c r="D309" s="353">
        <f>LN_III2+LN_III3+LN_III4+LN_III5</f>
        <v>978830823</v>
      </c>
      <c r="E309" s="353">
        <f t="shared" si="32"/>
        <v>25159693</v>
      </c>
      <c r="F309" s="362">
        <f t="shared" si="33"/>
        <v>2.6381938394213527E-2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346868471</v>
      </c>
      <c r="D310" s="353">
        <f>LN_III1-LN_III6</f>
        <v>411967040</v>
      </c>
      <c r="E310" s="353">
        <f t="shared" si="32"/>
        <v>65098569</v>
      </c>
      <c r="F310" s="362">
        <f t="shared" si="33"/>
        <v>0.187675082754927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346868471</v>
      </c>
      <c r="D312" s="353">
        <f>LN_III7+LN_III8</f>
        <v>411967040</v>
      </c>
      <c r="E312" s="353">
        <f t="shared" si="32"/>
        <v>65098569</v>
      </c>
      <c r="F312" s="362">
        <f t="shared" si="33"/>
        <v>0.187675082754927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0.26671119490193823</v>
      </c>
      <c r="D313" s="448">
        <f>IF(LN_III1=0,0,LN_III9/LN_III1)</f>
        <v>0.296209140781517</v>
      </c>
      <c r="E313" s="448">
        <f t="shared" si="32"/>
        <v>2.9497945879578769E-2</v>
      </c>
      <c r="F313" s="362">
        <f t="shared" si="33"/>
        <v>0.11059882915834968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11169804.565763125</v>
      </c>
      <c r="D314" s="353">
        <f>D313*LN_III5</f>
        <v>13271390.777299404</v>
      </c>
      <c r="E314" s="353">
        <f t="shared" si="32"/>
        <v>2101586.2115362789</v>
      </c>
      <c r="F314" s="362">
        <f t="shared" si="33"/>
        <v>0.18814887934368238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16747991.250096887</v>
      </c>
      <c r="D315" s="353">
        <f>D313*LN_IH8-LN_IH9</f>
        <v>30894752.676042825</v>
      </c>
      <c r="E315" s="353">
        <f t="shared" si="32"/>
        <v>14146761.425945938</v>
      </c>
      <c r="F315" s="362">
        <f t="shared" si="33"/>
        <v>0.84468407074574381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27917795.815860011</v>
      </c>
      <c r="D318" s="353">
        <f>D314+D315+D316</f>
        <v>44166143.453342229</v>
      </c>
      <c r="E318" s="353">
        <f>D318-C318</f>
        <v>16248347.637482218</v>
      </c>
      <c r="F318" s="362">
        <f>IF(C318=0,0,E318/C318)</f>
        <v>0.58200682262500048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25019700.79415749</v>
      </c>
      <c r="D322" s="353">
        <f>LN_ID22</f>
        <v>28538433.111580774</v>
      </c>
      <c r="E322" s="353">
        <f>LN_IV2-C322</f>
        <v>3518732.3174232841</v>
      </c>
      <c r="F322" s="362">
        <f>IF(C322=0,0,E322/C322)</f>
        <v>0.14063846511885408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6513162.0501865735</v>
      </c>
      <c r="D324" s="353">
        <f>LN_IC10+LN_IC22</f>
        <v>9220077.670901617</v>
      </c>
      <c r="E324" s="353">
        <f>LN_IV1-C324</f>
        <v>2706915.6207150435</v>
      </c>
      <c r="F324" s="362">
        <f>IF(C324=0,0,E324/C324)</f>
        <v>0.41560698165609167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31532862.844344065</v>
      </c>
      <c r="D325" s="429">
        <f>LN_IV1+LN_IV2+LN_IV3</f>
        <v>37758510.782482393</v>
      </c>
      <c r="E325" s="353">
        <f>LN_IV4-C325</f>
        <v>6225647.9381383285</v>
      </c>
      <c r="F325" s="362">
        <f>IF(C325=0,0,E325/C325)</f>
        <v>0.19743364149554218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1626157</v>
      </c>
      <c r="D329" s="431">
        <v>1668294</v>
      </c>
      <c r="E329" s="431">
        <f t="shared" ref="E329:E335" si="34">D329-C329</f>
        <v>42137</v>
      </c>
      <c r="F329" s="462">
        <f t="shared" ref="F329:F335" si="35">IF(C329=0,0,E329/C329)</f>
        <v>2.591201218578526E-2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9679611</v>
      </c>
      <c r="D330" s="429">
        <v>8648960</v>
      </c>
      <c r="E330" s="431">
        <f t="shared" si="34"/>
        <v>-1030651</v>
      </c>
      <c r="F330" s="463">
        <f t="shared" si="35"/>
        <v>-0.106476489602733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409615000</v>
      </c>
      <c r="D331" s="429">
        <v>420616000</v>
      </c>
      <c r="E331" s="431">
        <f t="shared" si="34"/>
        <v>11001000</v>
      </c>
      <c r="F331" s="462">
        <f t="shared" si="35"/>
        <v>2.6856926626222185E-2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1300540000</v>
      </c>
      <c r="D333" s="429">
        <v>1390797862</v>
      </c>
      <c r="E333" s="431">
        <f t="shared" si="34"/>
        <v>90257862</v>
      </c>
      <c r="F333" s="462">
        <f t="shared" si="35"/>
        <v>6.9400296799790859E-2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41879774</v>
      </c>
      <c r="D335" s="429">
        <v>44804123</v>
      </c>
      <c r="E335" s="429">
        <f t="shared" si="34"/>
        <v>2924349</v>
      </c>
      <c r="F335" s="462">
        <f t="shared" si="35"/>
        <v>6.9827239277843289E-2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FILING&amp;RBRIDGEPORT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213400151</v>
      </c>
      <c r="D14" s="513">
        <v>205353607</v>
      </c>
      <c r="E14" s="514">
        <f t="shared" ref="E14:E22" si="0">D14-C14</f>
        <v>-8046544</v>
      </c>
    </row>
    <row r="15" spans="1:5" s="506" customFormat="1" x14ac:dyDescent="0.2">
      <c r="A15" s="512">
        <v>2</v>
      </c>
      <c r="B15" s="511" t="s">
        <v>618</v>
      </c>
      <c r="C15" s="513">
        <v>355841758</v>
      </c>
      <c r="D15" s="515">
        <v>374698707</v>
      </c>
      <c r="E15" s="514">
        <f t="shared" si="0"/>
        <v>18856949</v>
      </c>
    </row>
    <row r="16" spans="1:5" s="506" customFormat="1" x14ac:dyDescent="0.2">
      <c r="A16" s="512">
        <v>3</v>
      </c>
      <c r="B16" s="511" t="s">
        <v>764</v>
      </c>
      <c r="C16" s="513">
        <v>177982732</v>
      </c>
      <c r="D16" s="515">
        <v>186325210</v>
      </c>
      <c r="E16" s="514">
        <f t="shared" si="0"/>
        <v>8342478</v>
      </c>
    </row>
    <row r="17" spans="1:5" s="506" customFormat="1" x14ac:dyDescent="0.2">
      <c r="A17" s="512">
        <v>4</v>
      </c>
      <c r="B17" s="511" t="s">
        <v>114</v>
      </c>
      <c r="C17" s="513">
        <v>177982732</v>
      </c>
      <c r="D17" s="515">
        <v>186325210</v>
      </c>
      <c r="E17" s="514">
        <f t="shared" si="0"/>
        <v>8342478</v>
      </c>
    </row>
    <row r="18" spans="1:5" s="506" customFormat="1" x14ac:dyDescent="0.2">
      <c r="A18" s="512">
        <v>5</v>
      </c>
      <c r="B18" s="511" t="s">
        <v>731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822407</v>
      </c>
      <c r="D19" s="515">
        <v>568230</v>
      </c>
      <c r="E19" s="514">
        <f t="shared" si="0"/>
        <v>-254177</v>
      </c>
    </row>
    <row r="20" spans="1:5" s="506" customFormat="1" x14ac:dyDescent="0.2">
      <c r="A20" s="512">
        <v>7</v>
      </c>
      <c r="B20" s="511" t="s">
        <v>746</v>
      </c>
      <c r="C20" s="513">
        <v>9870815</v>
      </c>
      <c r="D20" s="515">
        <v>10522802</v>
      </c>
      <c r="E20" s="514">
        <f t="shared" si="0"/>
        <v>651987</v>
      </c>
    </row>
    <row r="21" spans="1:5" s="506" customFormat="1" x14ac:dyDescent="0.2">
      <c r="A21" s="512"/>
      <c r="B21" s="516" t="s">
        <v>765</v>
      </c>
      <c r="C21" s="517">
        <f>SUM(C15+C16+C19)</f>
        <v>534646897</v>
      </c>
      <c r="D21" s="517">
        <f>SUM(D15+D16+D19)</f>
        <v>561592147</v>
      </c>
      <c r="E21" s="517">
        <f t="shared" si="0"/>
        <v>26945250</v>
      </c>
    </row>
    <row r="22" spans="1:5" s="506" customFormat="1" x14ac:dyDescent="0.2">
      <c r="A22" s="512"/>
      <c r="B22" s="516" t="s">
        <v>705</v>
      </c>
      <c r="C22" s="517">
        <f>SUM(C14+C21)</f>
        <v>748047048</v>
      </c>
      <c r="D22" s="517">
        <f>SUM(D14+D21)</f>
        <v>766945754</v>
      </c>
      <c r="E22" s="517">
        <f t="shared" si="0"/>
        <v>18898706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247235586</v>
      </c>
      <c r="D25" s="513">
        <v>269703464</v>
      </c>
      <c r="E25" s="514">
        <f t="shared" ref="E25:E33" si="1">D25-C25</f>
        <v>22467878</v>
      </c>
    </row>
    <row r="26" spans="1:5" s="506" customFormat="1" x14ac:dyDescent="0.2">
      <c r="A26" s="512">
        <v>2</v>
      </c>
      <c r="B26" s="511" t="s">
        <v>618</v>
      </c>
      <c r="C26" s="513">
        <v>145753576</v>
      </c>
      <c r="D26" s="515">
        <v>163270365</v>
      </c>
      <c r="E26" s="514">
        <f t="shared" si="1"/>
        <v>17516789</v>
      </c>
    </row>
    <row r="27" spans="1:5" s="506" customFormat="1" x14ac:dyDescent="0.2">
      <c r="A27" s="512">
        <v>3</v>
      </c>
      <c r="B27" s="511" t="s">
        <v>764</v>
      </c>
      <c r="C27" s="513">
        <v>158446128</v>
      </c>
      <c r="D27" s="515">
        <v>189897024</v>
      </c>
      <c r="E27" s="514">
        <f t="shared" si="1"/>
        <v>31450896</v>
      </c>
    </row>
    <row r="28" spans="1:5" s="506" customFormat="1" x14ac:dyDescent="0.2">
      <c r="A28" s="512">
        <v>4</v>
      </c>
      <c r="B28" s="511" t="s">
        <v>114</v>
      </c>
      <c r="C28" s="513">
        <v>158446128</v>
      </c>
      <c r="D28" s="515">
        <v>189897024</v>
      </c>
      <c r="E28" s="514">
        <f t="shared" si="1"/>
        <v>31450896</v>
      </c>
    </row>
    <row r="29" spans="1:5" s="506" customFormat="1" x14ac:dyDescent="0.2">
      <c r="A29" s="512">
        <v>5</v>
      </c>
      <c r="B29" s="511" t="s">
        <v>731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1057263</v>
      </c>
      <c r="D30" s="515">
        <v>981256</v>
      </c>
      <c r="E30" s="514">
        <f t="shared" si="1"/>
        <v>-76007</v>
      </c>
    </row>
    <row r="31" spans="1:5" s="506" customFormat="1" x14ac:dyDescent="0.2">
      <c r="A31" s="512">
        <v>7</v>
      </c>
      <c r="B31" s="511" t="s">
        <v>746</v>
      </c>
      <c r="C31" s="514">
        <v>33143267</v>
      </c>
      <c r="D31" s="518">
        <v>36993422</v>
      </c>
      <c r="E31" s="514">
        <f t="shared" si="1"/>
        <v>3850155</v>
      </c>
    </row>
    <row r="32" spans="1:5" s="506" customFormat="1" x14ac:dyDescent="0.2">
      <c r="A32" s="512"/>
      <c r="B32" s="516" t="s">
        <v>767</v>
      </c>
      <c r="C32" s="517">
        <f>SUM(C26+C27+C30)</f>
        <v>305256967</v>
      </c>
      <c r="D32" s="517">
        <f>SUM(D26+D27+D30)</f>
        <v>354148645</v>
      </c>
      <c r="E32" s="517">
        <f t="shared" si="1"/>
        <v>48891678</v>
      </c>
    </row>
    <row r="33" spans="1:5" s="506" customFormat="1" x14ac:dyDescent="0.2">
      <c r="A33" s="512"/>
      <c r="B33" s="516" t="s">
        <v>711</v>
      </c>
      <c r="C33" s="517">
        <f>SUM(C25+C32)</f>
        <v>552492553</v>
      </c>
      <c r="D33" s="517">
        <f>SUM(D25+D32)</f>
        <v>623852109</v>
      </c>
      <c r="E33" s="517">
        <f t="shared" si="1"/>
        <v>71359556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460635737</v>
      </c>
      <c r="D36" s="514">
        <f t="shared" si="2"/>
        <v>475057071</v>
      </c>
      <c r="E36" s="514">
        <f t="shared" ref="E36:E44" si="3">D36-C36</f>
        <v>14421334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501595334</v>
      </c>
      <c r="D37" s="514">
        <f t="shared" si="2"/>
        <v>537969072</v>
      </c>
      <c r="E37" s="514">
        <f t="shared" si="3"/>
        <v>36373738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336428860</v>
      </c>
      <c r="D38" s="514">
        <f t="shared" si="2"/>
        <v>376222234</v>
      </c>
      <c r="E38" s="514">
        <f t="shared" si="3"/>
        <v>39793374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336428860</v>
      </c>
      <c r="D39" s="514">
        <f t="shared" si="2"/>
        <v>376222234</v>
      </c>
      <c r="E39" s="514">
        <f t="shared" si="3"/>
        <v>39793374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1879670</v>
      </c>
      <c r="D41" s="514">
        <f t="shared" si="2"/>
        <v>1549486</v>
      </c>
      <c r="E41" s="514">
        <f t="shared" si="3"/>
        <v>-330184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43014082</v>
      </c>
      <c r="D42" s="514">
        <f t="shared" si="2"/>
        <v>47516224</v>
      </c>
      <c r="E42" s="514">
        <f t="shared" si="3"/>
        <v>4502142</v>
      </c>
    </row>
    <row r="43" spans="1:5" s="506" customFormat="1" x14ac:dyDescent="0.2">
      <c r="A43" s="512"/>
      <c r="B43" s="516" t="s">
        <v>775</v>
      </c>
      <c r="C43" s="517">
        <f>SUM(C37+C38+C41)</f>
        <v>839903864</v>
      </c>
      <c r="D43" s="517">
        <f>SUM(D37+D38+D41)</f>
        <v>915740792</v>
      </c>
      <c r="E43" s="517">
        <f t="shared" si="3"/>
        <v>75836928</v>
      </c>
    </row>
    <row r="44" spans="1:5" s="506" customFormat="1" x14ac:dyDescent="0.2">
      <c r="A44" s="512"/>
      <c r="B44" s="516" t="s">
        <v>713</v>
      </c>
      <c r="C44" s="517">
        <f>SUM(C36+C43)</f>
        <v>1300539601</v>
      </c>
      <c r="D44" s="517">
        <f>SUM(D36+D43)</f>
        <v>1390797863</v>
      </c>
      <c r="E44" s="517">
        <f t="shared" si="3"/>
        <v>90258262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95766076</v>
      </c>
      <c r="D47" s="513">
        <v>86004341</v>
      </c>
      <c r="E47" s="514">
        <f t="shared" ref="E47:E55" si="4">D47-C47</f>
        <v>-9761735</v>
      </c>
    </row>
    <row r="48" spans="1:5" s="506" customFormat="1" x14ac:dyDescent="0.2">
      <c r="A48" s="512">
        <v>2</v>
      </c>
      <c r="B48" s="511" t="s">
        <v>618</v>
      </c>
      <c r="C48" s="513">
        <v>116690530</v>
      </c>
      <c r="D48" s="515">
        <v>121076188</v>
      </c>
      <c r="E48" s="514">
        <f t="shared" si="4"/>
        <v>4385658</v>
      </c>
    </row>
    <row r="49" spans="1:5" s="506" customFormat="1" x14ac:dyDescent="0.2">
      <c r="A49" s="512">
        <v>3</v>
      </c>
      <c r="B49" s="511" t="s">
        <v>764</v>
      </c>
      <c r="C49" s="513">
        <v>45929919</v>
      </c>
      <c r="D49" s="515">
        <v>49170715</v>
      </c>
      <c r="E49" s="514">
        <f t="shared" si="4"/>
        <v>3240796</v>
      </c>
    </row>
    <row r="50" spans="1:5" s="506" customFormat="1" x14ac:dyDescent="0.2">
      <c r="A50" s="512">
        <v>4</v>
      </c>
      <c r="B50" s="511" t="s">
        <v>114</v>
      </c>
      <c r="C50" s="513">
        <v>45929919</v>
      </c>
      <c r="D50" s="515">
        <v>49170715</v>
      </c>
      <c r="E50" s="514">
        <f t="shared" si="4"/>
        <v>3240796</v>
      </c>
    </row>
    <row r="51" spans="1:5" s="506" customFormat="1" x14ac:dyDescent="0.2">
      <c r="A51" s="512">
        <v>5</v>
      </c>
      <c r="B51" s="511" t="s">
        <v>731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162598</v>
      </c>
      <c r="D52" s="515">
        <v>68895</v>
      </c>
      <c r="E52" s="514">
        <f t="shared" si="4"/>
        <v>-93703</v>
      </c>
    </row>
    <row r="53" spans="1:5" s="506" customFormat="1" x14ac:dyDescent="0.2">
      <c r="A53" s="512">
        <v>7</v>
      </c>
      <c r="B53" s="511" t="s">
        <v>746</v>
      </c>
      <c r="C53" s="513">
        <v>2770737</v>
      </c>
      <c r="D53" s="515">
        <v>1360781</v>
      </c>
      <c r="E53" s="514">
        <f t="shared" si="4"/>
        <v>-1409956</v>
      </c>
    </row>
    <row r="54" spans="1:5" s="506" customFormat="1" x14ac:dyDescent="0.2">
      <c r="A54" s="512"/>
      <c r="B54" s="516" t="s">
        <v>777</v>
      </c>
      <c r="C54" s="517">
        <f>SUM(C48+C49+C52)</f>
        <v>162783047</v>
      </c>
      <c r="D54" s="517">
        <f>SUM(D48+D49+D52)</f>
        <v>170315798</v>
      </c>
      <c r="E54" s="517">
        <f t="shared" si="4"/>
        <v>7532751</v>
      </c>
    </row>
    <row r="55" spans="1:5" s="506" customFormat="1" x14ac:dyDescent="0.2">
      <c r="A55" s="512"/>
      <c r="B55" s="516" t="s">
        <v>706</v>
      </c>
      <c r="C55" s="517">
        <f>SUM(C47+C54)</f>
        <v>258549123</v>
      </c>
      <c r="D55" s="517">
        <f>SUM(D47+D54)</f>
        <v>256320139</v>
      </c>
      <c r="E55" s="517">
        <f t="shared" si="4"/>
        <v>-2228984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86464944</v>
      </c>
      <c r="D58" s="513">
        <v>93021445</v>
      </c>
      <c r="E58" s="514">
        <f t="shared" ref="E58:E66" si="5">D58-C58</f>
        <v>6556501</v>
      </c>
    </row>
    <row r="59" spans="1:5" s="506" customFormat="1" x14ac:dyDescent="0.2">
      <c r="A59" s="512">
        <v>2</v>
      </c>
      <c r="B59" s="511" t="s">
        <v>618</v>
      </c>
      <c r="C59" s="513">
        <v>27661355</v>
      </c>
      <c r="D59" s="515">
        <v>31077627</v>
      </c>
      <c r="E59" s="514">
        <f t="shared" si="5"/>
        <v>3416272</v>
      </c>
    </row>
    <row r="60" spans="1:5" s="506" customFormat="1" x14ac:dyDescent="0.2">
      <c r="A60" s="512">
        <v>3</v>
      </c>
      <c r="B60" s="511" t="s">
        <v>764</v>
      </c>
      <c r="C60" s="513">
        <f>C61+C62</f>
        <v>27051433</v>
      </c>
      <c r="D60" s="515">
        <f>D61+D62</f>
        <v>31374997</v>
      </c>
      <c r="E60" s="514">
        <f t="shared" si="5"/>
        <v>4323564</v>
      </c>
    </row>
    <row r="61" spans="1:5" s="506" customFormat="1" x14ac:dyDescent="0.2">
      <c r="A61" s="512">
        <v>4</v>
      </c>
      <c r="B61" s="511" t="s">
        <v>114</v>
      </c>
      <c r="C61" s="513">
        <v>27051433</v>
      </c>
      <c r="D61" s="515">
        <v>31374997</v>
      </c>
      <c r="E61" s="514">
        <f t="shared" si="5"/>
        <v>4323564</v>
      </c>
    </row>
    <row r="62" spans="1:5" s="506" customFormat="1" x14ac:dyDescent="0.2">
      <c r="A62" s="512">
        <v>5</v>
      </c>
      <c r="B62" s="511" t="s">
        <v>731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208130</v>
      </c>
      <c r="D63" s="515">
        <v>172831</v>
      </c>
      <c r="E63" s="514">
        <f t="shared" si="5"/>
        <v>-35299</v>
      </c>
    </row>
    <row r="64" spans="1:5" s="506" customFormat="1" x14ac:dyDescent="0.2">
      <c r="A64" s="512">
        <v>7</v>
      </c>
      <c r="B64" s="511" t="s">
        <v>746</v>
      </c>
      <c r="C64" s="513">
        <v>2427657</v>
      </c>
      <c r="D64" s="515">
        <v>3002200</v>
      </c>
      <c r="E64" s="514">
        <f t="shared" si="5"/>
        <v>574543</v>
      </c>
    </row>
    <row r="65" spans="1:5" s="506" customFormat="1" x14ac:dyDescent="0.2">
      <c r="A65" s="512"/>
      <c r="B65" s="516" t="s">
        <v>779</v>
      </c>
      <c r="C65" s="517">
        <f>SUM(C59+C60+C63)</f>
        <v>54920918</v>
      </c>
      <c r="D65" s="517">
        <f>SUM(D59+D60+D63)</f>
        <v>62625455</v>
      </c>
      <c r="E65" s="517">
        <f t="shared" si="5"/>
        <v>7704537</v>
      </c>
    </row>
    <row r="66" spans="1:5" s="506" customFormat="1" x14ac:dyDescent="0.2">
      <c r="A66" s="512"/>
      <c r="B66" s="516" t="s">
        <v>712</v>
      </c>
      <c r="C66" s="517">
        <f>SUM(C58+C65)</f>
        <v>141385862</v>
      </c>
      <c r="D66" s="517">
        <f>SUM(D58+D65)</f>
        <v>155646900</v>
      </c>
      <c r="E66" s="517">
        <f t="shared" si="5"/>
        <v>14261038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182231020</v>
      </c>
      <c r="D69" s="514">
        <f t="shared" si="6"/>
        <v>179025786</v>
      </c>
      <c r="E69" s="514">
        <f t="shared" ref="E69:E77" si="7">D69-C69</f>
        <v>-3205234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144351885</v>
      </c>
      <c r="D70" s="514">
        <f t="shared" si="6"/>
        <v>152153815</v>
      </c>
      <c r="E70" s="514">
        <f t="shared" si="7"/>
        <v>7801930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72981352</v>
      </c>
      <c r="D71" s="514">
        <f t="shared" si="6"/>
        <v>80545712</v>
      </c>
      <c r="E71" s="514">
        <f t="shared" si="7"/>
        <v>7564360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72981352</v>
      </c>
      <c r="D72" s="514">
        <f t="shared" si="6"/>
        <v>80545712</v>
      </c>
      <c r="E72" s="514">
        <f t="shared" si="7"/>
        <v>7564360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370728</v>
      </c>
      <c r="D74" s="514">
        <f t="shared" si="6"/>
        <v>241726</v>
      </c>
      <c r="E74" s="514">
        <f t="shared" si="7"/>
        <v>-129002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5198394</v>
      </c>
      <c r="D75" s="514">
        <f t="shared" si="6"/>
        <v>4362981</v>
      </c>
      <c r="E75" s="514">
        <f t="shared" si="7"/>
        <v>-835413</v>
      </c>
    </row>
    <row r="76" spans="1:5" s="506" customFormat="1" x14ac:dyDescent="0.2">
      <c r="A76" s="512"/>
      <c r="B76" s="516" t="s">
        <v>780</v>
      </c>
      <c r="C76" s="517">
        <f>SUM(C70+C71+C74)</f>
        <v>217703965</v>
      </c>
      <c r="D76" s="517">
        <f>SUM(D70+D71+D74)</f>
        <v>232941253</v>
      </c>
      <c r="E76" s="517">
        <f t="shared" si="7"/>
        <v>15237288</v>
      </c>
    </row>
    <row r="77" spans="1:5" s="506" customFormat="1" x14ac:dyDescent="0.2">
      <c r="A77" s="512"/>
      <c r="B77" s="516" t="s">
        <v>714</v>
      </c>
      <c r="C77" s="517">
        <f>SUM(C69+C76)</f>
        <v>399934985</v>
      </c>
      <c r="D77" s="517">
        <f>SUM(D69+D76)</f>
        <v>411967039</v>
      </c>
      <c r="E77" s="517">
        <f t="shared" si="7"/>
        <v>12032054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0.16408585393010267</v>
      </c>
      <c r="D83" s="523">
        <f t="shared" si="8"/>
        <v>0.14765165554471377</v>
      </c>
      <c r="E83" s="523">
        <f t="shared" ref="E83:E91" si="9">D83-C83</f>
        <v>-1.6434198385388898E-2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0.2736108594666315</v>
      </c>
      <c r="D84" s="523">
        <f t="shared" si="8"/>
        <v>0.26941277159555138</v>
      </c>
      <c r="E84" s="523">
        <f t="shared" si="9"/>
        <v>-4.1980878710801139E-3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0.13685298922320166</v>
      </c>
      <c r="D85" s="523">
        <f t="shared" si="8"/>
        <v>0.13397001459154528</v>
      </c>
      <c r="E85" s="523">
        <f t="shared" si="9"/>
        <v>-2.8829746316563765E-3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0.13685298922320166</v>
      </c>
      <c r="D86" s="523">
        <f t="shared" si="8"/>
        <v>0.13397001459154528</v>
      </c>
      <c r="E86" s="523">
        <f t="shared" si="9"/>
        <v>-2.8829746316563765E-3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6.3235829141045899E-4</v>
      </c>
      <c r="D88" s="523">
        <f t="shared" si="8"/>
        <v>4.0856404450773879E-4</v>
      </c>
      <c r="E88" s="523">
        <f t="shared" si="9"/>
        <v>-2.237942469027202E-4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7.5897842652466836E-3</v>
      </c>
      <c r="D89" s="523">
        <f t="shared" si="8"/>
        <v>7.5660182402796806E-3</v>
      </c>
      <c r="E89" s="523">
        <f t="shared" si="9"/>
        <v>-2.3766024967003009E-5</v>
      </c>
    </row>
    <row r="90" spans="1:5" s="506" customFormat="1" x14ac:dyDescent="0.2">
      <c r="A90" s="512"/>
      <c r="B90" s="516" t="s">
        <v>783</v>
      </c>
      <c r="C90" s="524">
        <f>SUM(C84+C85+C88)</f>
        <v>0.41109620698124361</v>
      </c>
      <c r="D90" s="524">
        <f>SUM(D84+D85+D88)</f>
        <v>0.4037913502316044</v>
      </c>
      <c r="E90" s="525">
        <f t="shared" si="9"/>
        <v>-7.3048567496392103E-3</v>
      </c>
    </row>
    <row r="91" spans="1:5" s="506" customFormat="1" x14ac:dyDescent="0.2">
      <c r="A91" s="512"/>
      <c r="B91" s="516" t="s">
        <v>784</v>
      </c>
      <c r="C91" s="524">
        <f>SUM(C83+C90)</f>
        <v>0.57518206091134627</v>
      </c>
      <c r="D91" s="524">
        <f>SUM(D83+D90)</f>
        <v>0.55144300577631822</v>
      </c>
      <c r="E91" s="525">
        <f t="shared" si="9"/>
        <v>-2.3739055135028053E-2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0.19010231277071277</v>
      </c>
      <c r="D95" s="523">
        <f t="shared" si="10"/>
        <v>0.19391995858998526</v>
      </c>
      <c r="E95" s="523">
        <f t="shared" ref="E95:E103" si="11">D95-C95</f>
        <v>3.8176458192724916E-3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0.1120716169564759</v>
      </c>
      <c r="D96" s="523">
        <f t="shared" si="10"/>
        <v>0.11739331023116477</v>
      </c>
      <c r="E96" s="523">
        <f t="shared" si="11"/>
        <v>5.3216932746888712E-3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0.12183106756470079</v>
      </c>
      <c r="D97" s="523">
        <f t="shared" si="10"/>
        <v>0.13653819081256383</v>
      </c>
      <c r="E97" s="523">
        <f t="shared" si="11"/>
        <v>1.4707123247863038E-2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0.12183106756470079</v>
      </c>
      <c r="D98" s="523">
        <f t="shared" si="10"/>
        <v>0.13653819081256383</v>
      </c>
      <c r="E98" s="523">
        <f t="shared" si="11"/>
        <v>1.4707123247863038E-2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8.1294179676424938E-4</v>
      </c>
      <c r="D100" s="523">
        <f t="shared" si="10"/>
        <v>7.0553458996794566E-4</v>
      </c>
      <c r="E100" s="523">
        <f t="shared" si="11"/>
        <v>-1.0740720679630372E-4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2.5484242828527296E-2</v>
      </c>
      <c r="D101" s="523">
        <f t="shared" si="10"/>
        <v>2.6598704947823175E-2</v>
      </c>
      <c r="E101" s="523">
        <f t="shared" si="11"/>
        <v>1.1144621192958788E-3</v>
      </c>
    </row>
    <row r="102" spans="1:5" s="506" customFormat="1" x14ac:dyDescent="0.2">
      <c r="A102" s="512"/>
      <c r="B102" s="516" t="s">
        <v>786</v>
      </c>
      <c r="C102" s="524">
        <f>SUM(C96+C97+C100)</f>
        <v>0.23471562631794093</v>
      </c>
      <c r="D102" s="524">
        <f>SUM(D96+D97+D100)</f>
        <v>0.25463703563369655</v>
      </c>
      <c r="E102" s="525">
        <f t="shared" si="11"/>
        <v>1.9921409315755617E-2</v>
      </c>
    </row>
    <row r="103" spans="1:5" s="506" customFormat="1" x14ac:dyDescent="0.2">
      <c r="A103" s="512"/>
      <c r="B103" s="516" t="s">
        <v>787</v>
      </c>
      <c r="C103" s="524">
        <f>SUM(C95+C102)</f>
        <v>0.42481793908865373</v>
      </c>
      <c r="D103" s="524">
        <f>SUM(D95+D102)</f>
        <v>0.44855699422368178</v>
      </c>
      <c r="E103" s="525">
        <f t="shared" si="11"/>
        <v>2.3739055135028053E-2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0.23945411027244839</v>
      </c>
      <c r="D109" s="523">
        <f t="shared" si="12"/>
        <v>0.20876510220032432</v>
      </c>
      <c r="E109" s="523">
        <f t="shared" ref="E109:E117" si="13">D109-C109</f>
        <v>-3.0689008072124074E-2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0.29177374917575666</v>
      </c>
      <c r="D110" s="523">
        <f t="shared" si="12"/>
        <v>0.29389775525221085</v>
      </c>
      <c r="E110" s="523">
        <f t="shared" si="13"/>
        <v>2.1240060764541879E-3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0.11484346386950869</v>
      </c>
      <c r="D111" s="523">
        <f t="shared" si="12"/>
        <v>0.11935594439631857</v>
      </c>
      <c r="E111" s="523">
        <f t="shared" si="13"/>
        <v>4.5124805268098728E-3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0.11484346386950869</v>
      </c>
      <c r="D112" s="523">
        <f t="shared" si="12"/>
        <v>0.11935594439631857</v>
      </c>
      <c r="E112" s="523">
        <f t="shared" si="13"/>
        <v>4.5124805268098728E-3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4.0656108142177161E-4</v>
      </c>
      <c r="D114" s="523">
        <f t="shared" si="12"/>
        <v>1.6723425293255076E-4</v>
      </c>
      <c r="E114" s="523">
        <f t="shared" si="13"/>
        <v>-2.3932682848922085E-4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6.9279685546889576E-3</v>
      </c>
      <c r="D115" s="523">
        <f t="shared" si="12"/>
        <v>3.3031307633327434E-3</v>
      </c>
      <c r="E115" s="523">
        <f t="shared" si="13"/>
        <v>-3.6248377913562142E-3</v>
      </c>
    </row>
    <row r="116" spans="1:5" s="506" customFormat="1" x14ac:dyDescent="0.2">
      <c r="A116" s="512"/>
      <c r="B116" s="516" t="s">
        <v>783</v>
      </c>
      <c r="C116" s="524">
        <f>SUM(C110+C111+C114)</f>
        <v>0.40702377412668711</v>
      </c>
      <c r="D116" s="524">
        <f>SUM(D110+D111+D114)</f>
        <v>0.41342093390146195</v>
      </c>
      <c r="E116" s="525">
        <f t="shared" si="13"/>
        <v>6.397159774774841E-3</v>
      </c>
    </row>
    <row r="117" spans="1:5" s="506" customFormat="1" x14ac:dyDescent="0.2">
      <c r="A117" s="512"/>
      <c r="B117" s="516" t="s">
        <v>784</v>
      </c>
      <c r="C117" s="524">
        <f>SUM(C109+C116)</f>
        <v>0.64647788439913545</v>
      </c>
      <c r="D117" s="524">
        <f>SUM(D109+D116)</f>
        <v>0.62218603610178624</v>
      </c>
      <c r="E117" s="525">
        <f t="shared" si="13"/>
        <v>-2.4291848297349206E-2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0.21619750020118894</v>
      </c>
      <c r="D121" s="523">
        <f t="shared" si="14"/>
        <v>0.2257982707203913</v>
      </c>
      <c r="E121" s="523">
        <f t="shared" ref="E121:E129" si="15">D121-C121</f>
        <v>9.6007705192023562E-3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6.9164629345942322E-2</v>
      </c>
      <c r="D122" s="523">
        <f t="shared" si="14"/>
        <v>7.543716865173769E-2</v>
      </c>
      <c r="E122" s="523">
        <f t="shared" si="15"/>
        <v>6.2725393057953688E-3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6.7639576467660112E-2</v>
      </c>
      <c r="D123" s="523">
        <f t="shared" si="14"/>
        <v>7.6158998244517329E-2</v>
      </c>
      <c r="E123" s="523">
        <f t="shared" si="15"/>
        <v>8.5194217768572167E-3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6.7639576467660112E-2</v>
      </c>
      <c r="D124" s="523">
        <f t="shared" si="14"/>
        <v>7.6158998244517329E-2</v>
      </c>
      <c r="E124" s="523">
        <f t="shared" si="15"/>
        <v>8.5194217768572167E-3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5.2040958607309641E-4</v>
      </c>
      <c r="D126" s="523">
        <f t="shared" si="14"/>
        <v>4.1952628156739503E-4</v>
      </c>
      <c r="E126" s="523">
        <f t="shared" si="15"/>
        <v>-1.0088330450570138E-4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6.0701291236124289E-3</v>
      </c>
      <c r="D127" s="523">
        <f t="shared" si="14"/>
        <v>7.2874762196691182E-3</v>
      </c>
      <c r="E127" s="523">
        <f t="shared" si="15"/>
        <v>1.2173470960566892E-3</v>
      </c>
    </row>
    <row r="128" spans="1:5" s="506" customFormat="1" x14ac:dyDescent="0.2">
      <c r="A128" s="512"/>
      <c r="B128" s="516" t="s">
        <v>786</v>
      </c>
      <c r="C128" s="524">
        <f>SUM(C122+C123+C126)</f>
        <v>0.13732461539967553</v>
      </c>
      <c r="D128" s="524">
        <f>SUM(D122+D123+D126)</f>
        <v>0.1520156931778224</v>
      </c>
      <c r="E128" s="525">
        <f t="shared" si="15"/>
        <v>1.4691077778146877E-2</v>
      </c>
    </row>
    <row r="129" spans="1:5" s="506" customFormat="1" x14ac:dyDescent="0.2">
      <c r="A129" s="512"/>
      <c r="B129" s="516" t="s">
        <v>787</v>
      </c>
      <c r="C129" s="524">
        <f>SUM(C121+C128)</f>
        <v>0.35352211560086444</v>
      </c>
      <c r="D129" s="524">
        <f>SUM(D121+D128)</f>
        <v>0.3778139638982137</v>
      </c>
      <c r="E129" s="525">
        <f t="shared" si="15"/>
        <v>2.4291848297349261E-2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0.99999999999999989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6089</v>
      </c>
      <c r="D137" s="530">
        <v>5672</v>
      </c>
      <c r="E137" s="531">
        <f t="shared" ref="E137:E145" si="16">D137-C137</f>
        <v>-417</v>
      </c>
    </row>
    <row r="138" spans="1:5" s="506" customFormat="1" x14ac:dyDescent="0.2">
      <c r="A138" s="512">
        <v>2</v>
      </c>
      <c r="B138" s="511" t="s">
        <v>618</v>
      </c>
      <c r="C138" s="530">
        <v>6932</v>
      </c>
      <c r="D138" s="530">
        <v>7260</v>
      </c>
      <c r="E138" s="531">
        <f t="shared" si="16"/>
        <v>328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6004</v>
      </c>
      <c r="D139" s="530">
        <f>D140+D141</f>
        <v>5984</v>
      </c>
      <c r="E139" s="531">
        <f t="shared" si="16"/>
        <v>-20</v>
      </c>
    </row>
    <row r="140" spans="1:5" s="506" customFormat="1" x14ac:dyDescent="0.2">
      <c r="A140" s="512">
        <v>4</v>
      </c>
      <c r="B140" s="511" t="s">
        <v>114</v>
      </c>
      <c r="C140" s="530">
        <v>6004</v>
      </c>
      <c r="D140" s="530">
        <v>5984</v>
      </c>
      <c r="E140" s="531">
        <f t="shared" si="16"/>
        <v>-20</v>
      </c>
    </row>
    <row r="141" spans="1:5" s="506" customFormat="1" x14ac:dyDescent="0.2">
      <c r="A141" s="512">
        <v>5</v>
      </c>
      <c r="B141" s="511" t="s">
        <v>731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33</v>
      </c>
      <c r="D142" s="530">
        <v>20</v>
      </c>
      <c r="E142" s="531">
        <f t="shared" si="16"/>
        <v>-13</v>
      </c>
    </row>
    <row r="143" spans="1:5" s="506" customFormat="1" x14ac:dyDescent="0.2">
      <c r="A143" s="512">
        <v>7</v>
      </c>
      <c r="B143" s="511" t="s">
        <v>746</v>
      </c>
      <c r="C143" s="530">
        <v>262</v>
      </c>
      <c r="D143" s="530">
        <v>296</v>
      </c>
      <c r="E143" s="531">
        <f t="shared" si="16"/>
        <v>34</v>
      </c>
    </row>
    <row r="144" spans="1:5" s="506" customFormat="1" x14ac:dyDescent="0.2">
      <c r="A144" s="512"/>
      <c r="B144" s="516" t="s">
        <v>794</v>
      </c>
      <c r="C144" s="532">
        <f>SUM(C138+C139+C142)</f>
        <v>12969</v>
      </c>
      <c r="D144" s="532">
        <f>SUM(D138+D139+D142)</f>
        <v>13264</v>
      </c>
      <c r="E144" s="533">
        <f t="shared" si="16"/>
        <v>295</v>
      </c>
    </row>
    <row r="145" spans="1:5" s="506" customFormat="1" x14ac:dyDescent="0.2">
      <c r="A145" s="512"/>
      <c r="B145" s="516" t="s">
        <v>708</v>
      </c>
      <c r="C145" s="532">
        <f>SUM(C137+C144)</f>
        <v>19058</v>
      </c>
      <c r="D145" s="532">
        <f>SUM(D137+D144)</f>
        <v>18936</v>
      </c>
      <c r="E145" s="533">
        <f t="shared" si="16"/>
        <v>-122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25520</v>
      </c>
      <c r="D149" s="534">
        <v>23454</v>
      </c>
      <c r="E149" s="531">
        <f t="shared" ref="E149:E157" si="17">D149-C149</f>
        <v>-2066</v>
      </c>
    </row>
    <row r="150" spans="1:5" s="506" customFormat="1" x14ac:dyDescent="0.2">
      <c r="A150" s="512">
        <v>2</v>
      </c>
      <c r="B150" s="511" t="s">
        <v>618</v>
      </c>
      <c r="C150" s="534">
        <v>51339</v>
      </c>
      <c r="D150" s="534">
        <v>50685</v>
      </c>
      <c r="E150" s="531">
        <f t="shared" si="17"/>
        <v>-654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27110</v>
      </c>
      <c r="D151" s="534">
        <f>D152+D153</f>
        <v>26620</v>
      </c>
      <c r="E151" s="531">
        <f t="shared" si="17"/>
        <v>-490</v>
      </c>
    </row>
    <row r="152" spans="1:5" s="506" customFormat="1" x14ac:dyDescent="0.2">
      <c r="A152" s="512">
        <v>4</v>
      </c>
      <c r="B152" s="511" t="s">
        <v>114</v>
      </c>
      <c r="C152" s="534">
        <v>27110</v>
      </c>
      <c r="D152" s="534">
        <v>26620</v>
      </c>
      <c r="E152" s="531">
        <f t="shared" si="17"/>
        <v>-490</v>
      </c>
    </row>
    <row r="153" spans="1:5" s="506" customFormat="1" x14ac:dyDescent="0.2">
      <c r="A153" s="512">
        <v>5</v>
      </c>
      <c r="B153" s="511" t="s">
        <v>731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126</v>
      </c>
      <c r="D154" s="534">
        <v>71</v>
      </c>
      <c r="E154" s="531">
        <f t="shared" si="17"/>
        <v>-55</v>
      </c>
    </row>
    <row r="155" spans="1:5" s="506" customFormat="1" x14ac:dyDescent="0.2">
      <c r="A155" s="512">
        <v>7</v>
      </c>
      <c r="B155" s="511" t="s">
        <v>746</v>
      </c>
      <c r="C155" s="534">
        <v>1106</v>
      </c>
      <c r="D155" s="534">
        <v>1332</v>
      </c>
      <c r="E155" s="531">
        <f t="shared" si="17"/>
        <v>226</v>
      </c>
    </row>
    <row r="156" spans="1:5" s="506" customFormat="1" x14ac:dyDescent="0.2">
      <c r="A156" s="512"/>
      <c r="B156" s="516" t="s">
        <v>795</v>
      </c>
      <c r="C156" s="532">
        <f>SUM(C150+C151+C154)</f>
        <v>78575</v>
      </c>
      <c r="D156" s="532">
        <f>SUM(D150+D151+D154)</f>
        <v>77376</v>
      </c>
      <c r="E156" s="533">
        <f t="shared" si="17"/>
        <v>-1199</v>
      </c>
    </row>
    <row r="157" spans="1:5" s="506" customFormat="1" x14ac:dyDescent="0.2">
      <c r="A157" s="512"/>
      <c r="B157" s="516" t="s">
        <v>796</v>
      </c>
      <c r="C157" s="532">
        <f>SUM(C149+C156)</f>
        <v>104095</v>
      </c>
      <c r="D157" s="532">
        <f>SUM(D149+D156)</f>
        <v>100830</v>
      </c>
      <c r="E157" s="533">
        <f t="shared" si="17"/>
        <v>-3265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4.1911643948103139</v>
      </c>
      <c r="D161" s="536">
        <f t="shared" si="18"/>
        <v>4.1350493653032441</v>
      </c>
      <c r="E161" s="537">
        <f t="shared" ref="E161:E169" si="19">D161-C161</f>
        <v>-5.6115029507069814E-2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7.4060877091748409</v>
      </c>
      <c r="D162" s="536">
        <f t="shared" si="18"/>
        <v>6.9814049586776861</v>
      </c>
      <c r="E162" s="537">
        <f t="shared" si="19"/>
        <v>-0.42468275049715487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4.515323117921386</v>
      </c>
      <c r="D163" s="536">
        <f t="shared" si="18"/>
        <v>4.4485294117647056</v>
      </c>
      <c r="E163" s="537">
        <f t="shared" si="19"/>
        <v>-6.6793706156680344E-2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4.515323117921386</v>
      </c>
      <c r="D164" s="536">
        <f t="shared" si="18"/>
        <v>4.4485294117647056</v>
      </c>
      <c r="E164" s="537">
        <f t="shared" si="19"/>
        <v>-6.6793706156680344E-2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3.8181818181818183</v>
      </c>
      <c r="D166" s="536">
        <f t="shared" si="18"/>
        <v>3.55</v>
      </c>
      <c r="E166" s="537">
        <f t="shared" si="19"/>
        <v>-0.26818181818181852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4.221374045801527</v>
      </c>
      <c r="D167" s="536">
        <f t="shared" si="18"/>
        <v>4.5</v>
      </c>
      <c r="E167" s="537">
        <f t="shared" si="19"/>
        <v>0.27862595419847302</v>
      </c>
    </row>
    <row r="168" spans="1:5" s="506" customFormat="1" x14ac:dyDescent="0.2">
      <c r="A168" s="512"/>
      <c r="B168" s="516" t="s">
        <v>798</v>
      </c>
      <c r="C168" s="538">
        <f t="shared" si="18"/>
        <v>6.0586783869226615</v>
      </c>
      <c r="D168" s="538">
        <f t="shared" si="18"/>
        <v>5.8335343787696017</v>
      </c>
      <c r="E168" s="539">
        <f t="shared" si="19"/>
        <v>-0.22514400815305979</v>
      </c>
    </row>
    <row r="169" spans="1:5" s="506" customFormat="1" x14ac:dyDescent="0.2">
      <c r="A169" s="512"/>
      <c r="B169" s="516" t="s">
        <v>732</v>
      </c>
      <c r="C169" s="538">
        <f t="shared" si="18"/>
        <v>5.4620107041662296</v>
      </c>
      <c r="D169" s="538">
        <f t="shared" si="18"/>
        <v>5.3247782002534851</v>
      </c>
      <c r="E169" s="539">
        <f t="shared" si="19"/>
        <v>-0.13723250391274444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1.2248300000000001</v>
      </c>
      <c r="D173" s="541">
        <f t="shared" si="20"/>
        <v>1.2174799999999999</v>
      </c>
      <c r="E173" s="542">
        <f t="shared" ref="E173:E181" si="21">D173-C173</f>
        <v>-7.3500000000001897E-3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1.6128899999999997</v>
      </c>
      <c r="D174" s="541">
        <f t="shared" si="20"/>
        <v>1.5809899999999999</v>
      </c>
      <c r="E174" s="542">
        <f t="shared" si="21"/>
        <v>-3.1899999999999817E-2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0.99748999999999988</v>
      </c>
      <c r="D175" s="541">
        <f t="shared" si="20"/>
        <v>0.97424999999999984</v>
      </c>
      <c r="E175" s="542">
        <f t="shared" si="21"/>
        <v>-2.3240000000000038E-2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0.99748999999999988</v>
      </c>
      <c r="D176" s="541">
        <f t="shared" si="20"/>
        <v>0.97424999999999984</v>
      </c>
      <c r="E176" s="542">
        <f t="shared" si="21"/>
        <v>-2.3240000000000038E-2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0.87963000000000002</v>
      </c>
      <c r="D178" s="541">
        <f t="shared" si="20"/>
        <v>1.05752</v>
      </c>
      <c r="E178" s="542">
        <f t="shared" si="21"/>
        <v>0.17788999999999999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1.14876</v>
      </c>
      <c r="D179" s="541">
        <f t="shared" si="20"/>
        <v>1.0761799999999999</v>
      </c>
      <c r="E179" s="542">
        <f t="shared" si="21"/>
        <v>-7.2580000000000089E-2</v>
      </c>
    </row>
    <row r="180" spans="1:5" s="506" customFormat="1" x14ac:dyDescent="0.2">
      <c r="A180" s="512"/>
      <c r="B180" s="516" t="s">
        <v>800</v>
      </c>
      <c r="C180" s="543">
        <f t="shared" si="20"/>
        <v>1.3261246996684399</v>
      </c>
      <c r="D180" s="543">
        <f t="shared" si="20"/>
        <v>1.3064723914354641</v>
      </c>
      <c r="E180" s="544">
        <f t="shared" si="21"/>
        <v>-1.9652308232975813E-2</v>
      </c>
    </row>
    <row r="181" spans="1:5" s="506" customFormat="1" x14ac:dyDescent="0.2">
      <c r="A181" s="512"/>
      <c r="B181" s="516" t="s">
        <v>709</v>
      </c>
      <c r="C181" s="543">
        <f t="shared" si="20"/>
        <v>1.2937612078916989</v>
      </c>
      <c r="D181" s="543">
        <f t="shared" si="20"/>
        <v>1.2798160308407265</v>
      </c>
      <c r="E181" s="544">
        <f t="shared" si="21"/>
        <v>-1.3945177050972424E-2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401607588</v>
      </c>
      <c r="D185" s="513">
        <v>413365615</v>
      </c>
      <c r="E185" s="514">
        <f>D185-C185</f>
        <v>11758027</v>
      </c>
    </row>
    <row r="186" spans="1:5" s="506" customFormat="1" ht="25.5" x14ac:dyDescent="0.2">
      <c r="A186" s="512">
        <v>2</v>
      </c>
      <c r="B186" s="511" t="s">
        <v>803</v>
      </c>
      <c r="C186" s="513">
        <v>113130118</v>
      </c>
      <c r="D186" s="513">
        <v>163302210</v>
      </c>
      <c r="E186" s="514">
        <f>D186-C186</f>
        <v>50172092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288477470</v>
      </c>
      <c r="D188" s="546">
        <f>+D185-D186</f>
        <v>250063405</v>
      </c>
      <c r="E188" s="514">
        <f t="shared" ref="E188:E197" si="22">D188-C188</f>
        <v>-38414065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0.71830682143386193</v>
      </c>
      <c r="D189" s="547">
        <f>IF(D185=0,0,+D188/D185)</f>
        <v>0.60494486218937205</v>
      </c>
      <c r="E189" s="523">
        <f t="shared" si="22"/>
        <v>-0.11336195924448988</v>
      </c>
    </row>
    <row r="190" spans="1:5" s="506" customFormat="1" x14ac:dyDescent="0.2">
      <c r="A190" s="512">
        <v>5</v>
      </c>
      <c r="B190" s="511" t="s">
        <v>750</v>
      </c>
      <c r="C190" s="513">
        <v>1626157</v>
      </c>
      <c r="D190" s="513">
        <v>1668294</v>
      </c>
      <c r="E190" s="546">
        <f t="shared" si="22"/>
        <v>42137</v>
      </c>
    </row>
    <row r="191" spans="1:5" s="506" customFormat="1" x14ac:dyDescent="0.2">
      <c r="A191" s="512">
        <v>6</v>
      </c>
      <c r="B191" s="511" t="s">
        <v>736</v>
      </c>
      <c r="C191" s="513">
        <v>1113987</v>
      </c>
      <c r="D191" s="513">
        <v>1163756</v>
      </c>
      <c r="E191" s="546">
        <f t="shared" si="22"/>
        <v>49769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13664086</v>
      </c>
      <c r="D193" s="513">
        <v>14777279</v>
      </c>
      <c r="E193" s="546">
        <f t="shared" si="22"/>
        <v>1113193</v>
      </c>
    </row>
    <row r="194" spans="1:5" s="506" customFormat="1" x14ac:dyDescent="0.2">
      <c r="A194" s="512">
        <v>9</v>
      </c>
      <c r="B194" s="511" t="s">
        <v>806</v>
      </c>
      <c r="C194" s="513">
        <v>28215688</v>
      </c>
      <c r="D194" s="513">
        <v>30026844</v>
      </c>
      <c r="E194" s="546">
        <f t="shared" si="22"/>
        <v>1811156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41879774</v>
      </c>
      <c r="D195" s="513">
        <f>+D193+D194</f>
        <v>44804123</v>
      </c>
      <c r="E195" s="549">
        <f t="shared" si="22"/>
        <v>2924349</v>
      </c>
    </row>
    <row r="196" spans="1:5" s="506" customFormat="1" x14ac:dyDescent="0.2">
      <c r="A196" s="512">
        <v>11</v>
      </c>
      <c r="B196" s="511" t="s">
        <v>808</v>
      </c>
      <c r="C196" s="513">
        <v>401607588</v>
      </c>
      <c r="D196" s="513">
        <v>413365615</v>
      </c>
      <c r="E196" s="546">
        <f t="shared" si="22"/>
        <v>11758027</v>
      </c>
    </row>
    <row r="197" spans="1:5" s="506" customFormat="1" x14ac:dyDescent="0.2">
      <c r="A197" s="512">
        <v>12</v>
      </c>
      <c r="B197" s="511" t="s">
        <v>693</v>
      </c>
      <c r="C197" s="513">
        <v>383278000</v>
      </c>
      <c r="D197" s="513">
        <v>403987000</v>
      </c>
      <c r="E197" s="546">
        <f t="shared" si="22"/>
        <v>20709000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7457.9898700000003</v>
      </c>
      <c r="D203" s="553">
        <v>6905.5465599999998</v>
      </c>
      <c r="E203" s="554">
        <f t="shared" ref="E203:E211" si="23">D203-C203</f>
        <v>-552.44331000000057</v>
      </c>
    </row>
    <row r="204" spans="1:5" s="506" customFormat="1" x14ac:dyDescent="0.2">
      <c r="A204" s="512">
        <v>2</v>
      </c>
      <c r="B204" s="511" t="s">
        <v>618</v>
      </c>
      <c r="C204" s="553">
        <v>11180.553479999999</v>
      </c>
      <c r="D204" s="553">
        <v>11477.9874</v>
      </c>
      <c r="E204" s="554">
        <f t="shared" si="23"/>
        <v>297.43392000000131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5988.9299599999995</v>
      </c>
      <c r="D205" s="553">
        <f>D206+D207</f>
        <v>5829.9119999999994</v>
      </c>
      <c r="E205" s="554">
        <f t="shared" si="23"/>
        <v>-159.01796000000013</v>
      </c>
    </row>
    <row r="206" spans="1:5" s="506" customFormat="1" x14ac:dyDescent="0.2">
      <c r="A206" s="512">
        <v>4</v>
      </c>
      <c r="B206" s="511" t="s">
        <v>114</v>
      </c>
      <c r="C206" s="553">
        <v>5988.9299599999995</v>
      </c>
      <c r="D206" s="553">
        <v>5829.9119999999994</v>
      </c>
      <c r="E206" s="554">
        <f t="shared" si="23"/>
        <v>-159.01796000000013</v>
      </c>
    </row>
    <row r="207" spans="1:5" s="506" customFormat="1" x14ac:dyDescent="0.2">
      <c r="A207" s="512">
        <v>5</v>
      </c>
      <c r="B207" s="511" t="s">
        <v>731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29.02779</v>
      </c>
      <c r="D208" s="553">
        <v>21.150400000000001</v>
      </c>
      <c r="E208" s="554">
        <f t="shared" si="23"/>
        <v>-7.8773899999999983</v>
      </c>
    </row>
    <row r="209" spans="1:5" s="506" customFormat="1" x14ac:dyDescent="0.2">
      <c r="A209" s="512">
        <v>7</v>
      </c>
      <c r="B209" s="511" t="s">
        <v>746</v>
      </c>
      <c r="C209" s="553">
        <v>300.97512</v>
      </c>
      <c r="D209" s="553">
        <v>318.54927999999995</v>
      </c>
      <c r="E209" s="554">
        <f t="shared" si="23"/>
        <v>17.574159999999949</v>
      </c>
    </row>
    <row r="210" spans="1:5" s="506" customFormat="1" x14ac:dyDescent="0.2">
      <c r="A210" s="512"/>
      <c r="B210" s="516" t="s">
        <v>811</v>
      </c>
      <c r="C210" s="555">
        <f>C204+C205+C208</f>
        <v>17198.511229999996</v>
      </c>
      <c r="D210" s="555">
        <f>D204+D205+D208</f>
        <v>17329.049799999997</v>
      </c>
      <c r="E210" s="556">
        <f t="shared" si="23"/>
        <v>130.53857000000062</v>
      </c>
    </row>
    <row r="211" spans="1:5" s="506" customFormat="1" x14ac:dyDescent="0.2">
      <c r="A211" s="512"/>
      <c r="B211" s="516" t="s">
        <v>710</v>
      </c>
      <c r="C211" s="555">
        <f>C210+C203</f>
        <v>24656.501099999998</v>
      </c>
      <c r="D211" s="555">
        <f>D210+D203</f>
        <v>24234.596359999996</v>
      </c>
      <c r="E211" s="556">
        <f t="shared" si="23"/>
        <v>-421.90474000000177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7054.434948145843</v>
      </c>
      <c r="D215" s="557">
        <f>IF(D14*D137=0,0,D25/D14*D137)</f>
        <v>7449.3848447862911</v>
      </c>
      <c r="E215" s="557">
        <f t="shared" ref="E215:E223" si="24">D215-C215</f>
        <v>394.94989664044806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2839.3626271147186</v>
      </c>
      <c r="D216" s="557">
        <f>IF(D15*D138=0,0,D26/D15*D138)</f>
        <v>3163.4559387470745</v>
      </c>
      <c r="E216" s="557">
        <f t="shared" si="24"/>
        <v>324.09331163235584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5344.9598274061782</v>
      </c>
      <c r="D217" s="557">
        <f>D218+D219</f>
        <v>6098.7119865100376</v>
      </c>
      <c r="E217" s="557">
        <f t="shared" si="24"/>
        <v>753.75215910385941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5344.9598274061782</v>
      </c>
      <c r="D218" s="557">
        <f t="shared" si="25"/>
        <v>6098.7119865100376</v>
      </c>
      <c r="E218" s="557">
        <f t="shared" si="24"/>
        <v>753.75215910385941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42.423859475904266</v>
      </c>
      <c r="D220" s="557">
        <f t="shared" si="25"/>
        <v>34.537282438449218</v>
      </c>
      <c r="E220" s="557">
        <f t="shared" si="24"/>
        <v>-7.8865770374550479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879.71823542432924</v>
      </c>
      <c r="D221" s="557">
        <f t="shared" si="25"/>
        <v>1040.6023901238473</v>
      </c>
      <c r="E221" s="557">
        <f t="shared" si="24"/>
        <v>160.88415469951804</v>
      </c>
    </row>
    <row r="222" spans="1:5" s="506" customFormat="1" x14ac:dyDescent="0.2">
      <c r="A222" s="512"/>
      <c r="B222" s="516" t="s">
        <v>813</v>
      </c>
      <c r="C222" s="558">
        <f>C216+C218+C219+C220</f>
        <v>8226.7463139968004</v>
      </c>
      <c r="D222" s="558">
        <f>D216+D218+D219+D220</f>
        <v>9296.7052076955606</v>
      </c>
      <c r="E222" s="558">
        <f t="shared" si="24"/>
        <v>1069.9588936987602</v>
      </c>
    </row>
    <row r="223" spans="1:5" s="506" customFormat="1" x14ac:dyDescent="0.2">
      <c r="A223" s="512"/>
      <c r="B223" s="516" t="s">
        <v>814</v>
      </c>
      <c r="C223" s="558">
        <f>C215+C222</f>
        <v>15281.181262142643</v>
      </c>
      <c r="D223" s="558">
        <f>D215+D222</f>
        <v>16746.09005248185</v>
      </c>
      <c r="E223" s="558">
        <f t="shared" si="24"/>
        <v>1464.9087903392065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12840.735596225742</v>
      </c>
      <c r="D227" s="560">
        <f t="shared" si="26"/>
        <v>12454.385797378507</v>
      </c>
      <c r="E227" s="560">
        <f t="shared" ref="E227:E235" si="27">D227-C227</f>
        <v>-386.34979884723543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10436.918906451134</v>
      </c>
      <c r="D228" s="560">
        <f t="shared" si="26"/>
        <v>10548.555576912377</v>
      </c>
      <c r="E228" s="560">
        <f t="shared" si="27"/>
        <v>111.63667046124283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7669.1361072454429</v>
      </c>
      <c r="D229" s="560">
        <f t="shared" si="26"/>
        <v>8434.2122145239937</v>
      </c>
      <c r="E229" s="560">
        <f t="shared" si="27"/>
        <v>765.07610727855081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7669.1361072454429</v>
      </c>
      <c r="D230" s="560">
        <f t="shared" si="26"/>
        <v>8434.2122145239937</v>
      </c>
      <c r="E230" s="560">
        <f t="shared" si="27"/>
        <v>765.07610727855081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5601.4598424475307</v>
      </c>
      <c r="D232" s="560">
        <f t="shared" si="26"/>
        <v>3257.3852031167257</v>
      </c>
      <c r="E232" s="560">
        <f t="shared" si="27"/>
        <v>-2344.074639330805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9205.867249093546</v>
      </c>
      <c r="D233" s="560">
        <f t="shared" si="26"/>
        <v>4271.8068614061858</v>
      </c>
      <c r="E233" s="560">
        <f t="shared" si="27"/>
        <v>-4934.0603876873602</v>
      </c>
    </row>
    <row r="234" spans="1:5" x14ac:dyDescent="0.2">
      <c r="A234" s="512"/>
      <c r="B234" s="516" t="s">
        <v>816</v>
      </c>
      <c r="C234" s="561">
        <f t="shared" si="26"/>
        <v>9464.9498914796495</v>
      </c>
      <c r="D234" s="561">
        <f t="shared" si="26"/>
        <v>9828.3402705669432</v>
      </c>
      <c r="E234" s="561">
        <f t="shared" si="27"/>
        <v>363.3903790872937</v>
      </c>
    </row>
    <row r="235" spans="1:5" s="506" customFormat="1" x14ac:dyDescent="0.2">
      <c r="A235" s="512"/>
      <c r="B235" s="516" t="s">
        <v>817</v>
      </c>
      <c r="C235" s="561">
        <f t="shared" si="26"/>
        <v>10486.042685107499</v>
      </c>
      <c r="D235" s="561">
        <f t="shared" si="26"/>
        <v>10576.620926233576</v>
      </c>
      <c r="E235" s="561">
        <f t="shared" si="27"/>
        <v>90.578241126077046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12256.820657581664</v>
      </c>
      <c r="D239" s="560">
        <f t="shared" si="28"/>
        <v>12487.131077018295</v>
      </c>
      <c r="E239" s="562">
        <f t="shared" ref="E239:E247" si="29">D239-C239</f>
        <v>230.31041943663149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9742.1001234029409</v>
      </c>
      <c r="D240" s="560">
        <f t="shared" si="28"/>
        <v>9823.9481129959022</v>
      </c>
      <c r="E240" s="562">
        <f t="shared" si="29"/>
        <v>81.847989592961312</v>
      </c>
    </row>
    <row r="241" spans="1:5" x14ac:dyDescent="0.2">
      <c r="A241" s="512">
        <v>3</v>
      </c>
      <c r="B241" s="511" t="s">
        <v>764</v>
      </c>
      <c r="C241" s="560">
        <f t="shared" si="28"/>
        <v>5061.1106301106884</v>
      </c>
      <c r="D241" s="560">
        <f t="shared" si="28"/>
        <v>5144.5283970450637</v>
      </c>
      <c r="E241" s="562">
        <f t="shared" si="29"/>
        <v>83.417766934375322</v>
      </c>
    </row>
    <row r="242" spans="1:5" x14ac:dyDescent="0.2">
      <c r="A242" s="512">
        <v>4</v>
      </c>
      <c r="B242" s="511" t="s">
        <v>114</v>
      </c>
      <c r="C242" s="560">
        <f t="shared" si="28"/>
        <v>5061.1106301106884</v>
      </c>
      <c r="D242" s="560">
        <f t="shared" si="28"/>
        <v>5144.5283970450637</v>
      </c>
      <c r="E242" s="562">
        <f t="shared" si="29"/>
        <v>83.417766934375322</v>
      </c>
    </row>
    <row r="243" spans="1:5" x14ac:dyDescent="0.2">
      <c r="A243" s="512">
        <v>5</v>
      </c>
      <c r="B243" s="511" t="s">
        <v>731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4905.9657129548259</v>
      </c>
      <c r="D244" s="560">
        <f t="shared" si="28"/>
        <v>5004.1864268855425</v>
      </c>
      <c r="E244" s="562">
        <f t="shared" si="29"/>
        <v>98.220713930716556</v>
      </c>
    </row>
    <row r="245" spans="1:5" x14ac:dyDescent="0.2">
      <c r="A245" s="512">
        <v>7</v>
      </c>
      <c r="B245" s="511" t="s">
        <v>746</v>
      </c>
      <c r="C245" s="560">
        <f t="shared" si="28"/>
        <v>2759.5847195653819</v>
      </c>
      <c r="D245" s="560">
        <f t="shared" si="28"/>
        <v>2885.0596812896933</v>
      </c>
      <c r="E245" s="562">
        <f t="shared" si="29"/>
        <v>125.47496172431147</v>
      </c>
    </row>
    <row r="246" spans="1:5" ht="25.5" x14ac:dyDescent="0.2">
      <c r="A246" s="512"/>
      <c r="B246" s="516" t="s">
        <v>819</v>
      </c>
      <c r="C246" s="561">
        <f t="shared" si="28"/>
        <v>6675.8978463403919</v>
      </c>
      <c r="D246" s="561">
        <f t="shared" si="28"/>
        <v>6736.3064226410388</v>
      </c>
      <c r="E246" s="563">
        <f t="shared" si="29"/>
        <v>60.408576300646928</v>
      </c>
    </row>
    <row r="247" spans="1:5" x14ac:dyDescent="0.2">
      <c r="A247" s="512"/>
      <c r="B247" s="516" t="s">
        <v>820</v>
      </c>
      <c r="C247" s="561">
        <f t="shared" si="28"/>
        <v>9252.2861665326291</v>
      </c>
      <c r="D247" s="561">
        <f t="shared" si="28"/>
        <v>9294.5218562784685</v>
      </c>
      <c r="E247" s="563">
        <f t="shared" si="29"/>
        <v>42.235689745839409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25019700.79415749</v>
      </c>
      <c r="D251" s="546">
        <f>((IF((IF(D15=0,0,D26/D15)*D138)=0,0,D59/(IF(D15=0,0,D26/D15)*D138)))-(IF((IF(D17=0,0,D28/D17)*D140)=0,0,D61/(IF(D17=0,0,D28/D17)*D140))))*(IF(D17=0,0,D28/D17)*D140)</f>
        <v>28538433.111580774</v>
      </c>
      <c r="E251" s="546">
        <f>D251-C251</f>
        <v>3518732.3174232841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6513162.0501865735</v>
      </c>
      <c r="D253" s="546">
        <f>IF(D233=0,0,(D228-D233)*D209+IF(D221=0,0,(D240-D245)*D221))</f>
        <v>9220077.670901617</v>
      </c>
      <c r="E253" s="546">
        <f>D253-C253</f>
        <v>2706915.6207150435</v>
      </c>
    </row>
    <row r="254" spans="1:5" ht="15" customHeight="1" x14ac:dyDescent="0.2">
      <c r="A254" s="512"/>
      <c r="B254" s="516" t="s">
        <v>747</v>
      </c>
      <c r="C254" s="564">
        <f>+C251+C252+C253</f>
        <v>31532862.844344065</v>
      </c>
      <c r="D254" s="564">
        <f>+D251+D252+D253</f>
        <v>37758510.782482393</v>
      </c>
      <c r="E254" s="564">
        <f>D254-C254</f>
        <v>6225647.9381383285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1300539601</v>
      </c>
      <c r="D258" s="549">
        <f>+D44</f>
        <v>1390797863</v>
      </c>
      <c r="E258" s="546">
        <f t="shared" ref="E258:E271" si="30">D258-C258</f>
        <v>90258262</v>
      </c>
    </row>
    <row r="259" spans="1:5" x14ac:dyDescent="0.2">
      <c r="A259" s="512">
        <v>2</v>
      </c>
      <c r="B259" s="511" t="s">
        <v>730</v>
      </c>
      <c r="C259" s="546">
        <f>+(C43-C76)</f>
        <v>622199899</v>
      </c>
      <c r="D259" s="549">
        <f>+(D43-D76)</f>
        <v>682799539</v>
      </c>
      <c r="E259" s="546">
        <f t="shared" si="30"/>
        <v>60599640</v>
      </c>
    </row>
    <row r="260" spans="1:5" x14ac:dyDescent="0.2">
      <c r="A260" s="512">
        <v>3</v>
      </c>
      <c r="B260" s="511" t="s">
        <v>734</v>
      </c>
      <c r="C260" s="546">
        <f>C195</f>
        <v>41879774</v>
      </c>
      <c r="D260" s="546">
        <f>D195</f>
        <v>44804123</v>
      </c>
      <c r="E260" s="546">
        <f t="shared" si="30"/>
        <v>2924349</v>
      </c>
    </row>
    <row r="261" spans="1:5" x14ac:dyDescent="0.2">
      <c r="A261" s="512">
        <v>4</v>
      </c>
      <c r="B261" s="511" t="s">
        <v>735</v>
      </c>
      <c r="C261" s="546">
        <f>C188</f>
        <v>288477470</v>
      </c>
      <c r="D261" s="546">
        <f>D188</f>
        <v>250063405</v>
      </c>
      <c r="E261" s="546">
        <f t="shared" si="30"/>
        <v>-38414065</v>
      </c>
    </row>
    <row r="262" spans="1:5" x14ac:dyDescent="0.2">
      <c r="A262" s="512">
        <v>5</v>
      </c>
      <c r="B262" s="511" t="s">
        <v>736</v>
      </c>
      <c r="C262" s="546">
        <f>C191</f>
        <v>1113987</v>
      </c>
      <c r="D262" s="546">
        <f>D191</f>
        <v>1163756</v>
      </c>
      <c r="E262" s="546">
        <f t="shared" si="30"/>
        <v>49769</v>
      </c>
    </row>
    <row r="263" spans="1:5" x14ac:dyDescent="0.2">
      <c r="A263" s="512">
        <v>6</v>
      </c>
      <c r="B263" s="511" t="s">
        <v>737</v>
      </c>
      <c r="C263" s="546">
        <f>+C259+C260+C261+C262</f>
        <v>953671130</v>
      </c>
      <c r="D263" s="546">
        <f>+D259+D260+D261+D262</f>
        <v>978830823</v>
      </c>
      <c r="E263" s="546">
        <f t="shared" si="30"/>
        <v>25159693</v>
      </c>
    </row>
    <row r="264" spans="1:5" x14ac:dyDescent="0.2">
      <c r="A264" s="512">
        <v>7</v>
      </c>
      <c r="B264" s="511" t="s">
        <v>637</v>
      </c>
      <c r="C264" s="546">
        <f>+C258-C263</f>
        <v>346868471</v>
      </c>
      <c r="D264" s="546">
        <f>+D258-D263</f>
        <v>411967040</v>
      </c>
      <c r="E264" s="546">
        <f t="shared" si="30"/>
        <v>65098569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346868471</v>
      </c>
      <c r="D266" s="546">
        <f>+D264+D265</f>
        <v>411967040</v>
      </c>
      <c r="E266" s="565">
        <f t="shared" si="30"/>
        <v>65098569</v>
      </c>
    </row>
    <row r="267" spans="1:5" x14ac:dyDescent="0.2">
      <c r="A267" s="512">
        <v>10</v>
      </c>
      <c r="B267" s="511" t="s">
        <v>825</v>
      </c>
      <c r="C267" s="566">
        <f>IF(C258=0,0,C266/C258)</f>
        <v>0.26671119490193823</v>
      </c>
      <c r="D267" s="566">
        <f>IF(D258=0,0,D266/D258)</f>
        <v>0.296209140781517</v>
      </c>
      <c r="E267" s="567">
        <f t="shared" si="30"/>
        <v>2.9497945879578769E-2</v>
      </c>
    </row>
    <row r="268" spans="1:5" x14ac:dyDescent="0.2">
      <c r="A268" s="512">
        <v>11</v>
      </c>
      <c r="B268" s="511" t="s">
        <v>699</v>
      </c>
      <c r="C268" s="546">
        <f>+C260*C267</f>
        <v>11169804.565763125</v>
      </c>
      <c r="D268" s="568">
        <f>+D260*D267</f>
        <v>13271390.777299404</v>
      </c>
      <c r="E268" s="546">
        <f t="shared" si="30"/>
        <v>2101586.2115362789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16747991.250096887</v>
      </c>
      <c r="D269" s="568">
        <f>((D17+D18+D28+D29)*D267)-(D50+D51+D61+D62)</f>
        <v>30894752.676042825</v>
      </c>
      <c r="E269" s="546">
        <f t="shared" si="30"/>
        <v>14146761.425945938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27917795.815860011</v>
      </c>
      <c r="D271" s="546">
        <f>+D268+D269+D270</f>
        <v>44166143.453342229</v>
      </c>
      <c r="E271" s="549">
        <f t="shared" si="30"/>
        <v>16248347.637482218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0.4487629251958683</v>
      </c>
      <c r="D276" s="547">
        <f t="shared" si="31"/>
        <v>0.41881095860176443</v>
      </c>
      <c r="E276" s="574">
        <f t="shared" ref="E276:E284" si="32">D276-C276</f>
        <v>-2.9951966594103874E-2</v>
      </c>
    </row>
    <row r="277" spans="1:5" x14ac:dyDescent="0.2">
      <c r="A277" s="512">
        <v>2</v>
      </c>
      <c r="B277" s="511" t="s">
        <v>618</v>
      </c>
      <c r="C277" s="547">
        <f t="shared" si="31"/>
        <v>0.32792815170388179</v>
      </c>
      <c r="D277" s="547">
        <f t="shared" si="31"/>
        <v>0.3231294523789216</v>
      </c>
      <c r="E277" s="574">
        <f t="shared" si="32"/>
        <v>-4.7986993249601873E-3</v>
      </c>
    </row>
    <row r="278" spans="1:5" x14ac:dyDescent="0.2">
      <c r="A278" s="512">
        <v>3</v>
      </c>
      <c r="B278" s="511" t="s">
        <v>764</v>
      </c>
      <c r="C278" s="547">
        <f t="shared" si="31"/>
        <v>0.25805828736239422</v>
      </c>
      <c r="D278" s="547">
        <f t="shared" si="31"/>
        <v>0.26389727401890489</v>
      </c>
      <c r="E278" s="574">
        <f t="shared" si="32"/>
        <v>5.8389866565106696E-3</v>
      </c>
    </row>
    <row r="279" spans="1:5" x14ac:dyDescent="0.2">
      <c r="A279" s="512">
        <v>4</v>
      </c>
      <c r="B279" s="511" t="s">
        <v>114</v>
      </c>
      <c r="C279" s="547">
        <f t="shared" si="31"/>
        <v>0.25805828736239422</v>
      </c>
      <c r="D279" s="547">
        <f t="shared" si="31"/>
        <v>0.26389727401890489</v>
      </c>
      <c r="E279" s="574">
        <f t="shared" si="32"/>
        <v>5.8389866565106696E-3</v>
      </c>
    </row>
    <row r="280" spans="1:5" x14ac:dyDescent="0.2">
      <c r="A280" s="512">
        <v>5</v>
      </c>
      <c r="B280" s="511" t="s">
        <v>731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0.19770989303349801</v>
      </c>
      <c r="D281" s="547">
        <f t="shared" si="31"/>
        <v>0.12124491843091706</v>
      </c>
      <c r="E281" s="574">
        <f t="shared" si="32"/>
        <v>-7.6464974602580948E-2</v>
      </c>
    </row>
    <row r="282" spans="1:5" x14ac:dyDescent="0.2">
      <c r="A282" s="512">
        <v>7</v>
      </c>
      <c r="B282" s="511" t="s">
        <v>746</v>
      </c>
      <c r="C282" s="547">
        <f t="shared" si="31"/>
        <v>0.28069992194160259</v>
      </c>
      <c r="D282" s="547">
        <f t="shared" si="31"/>
        <v>0.12931736242875233</v>
      </c>
      <c r="E282" s="574">
        <f t="shared" si="32"/>
        <v>-0.15138255951285026</v>
      </c>
    </row>
    <row r="283" spans="1:5" ht="29.25" customHeight="1" x14ac:dyDescent="0.2">
      <c r="A283" s="512"/>
      <c r="B283" s="516" t="s">
        <v>832</v>
      </c>
      <c r="C283" s="575">
        <f t="shared" si="31"/>
        <v>0.30446832837411941</v>
      </c>
      <c r="D283" s="575">
        <f t="shared" si="31"/>
        <v>0.30327311183003419</v>
      </c>
      <c r="E283" s="576">
        <f t="shared" si="32"/>
        <v>-1.1952165440852203E-3</v>
      </c>
    </row>
    <row r="284" spans="1:5" x14ac:dyDescent="0.2">
      <c r="A284" s="512"/>
      <c r="B284" s="516" t="s">
        <v>833</v>
      </c>
      <c r="C284" s="575">
        <f t="shared" si="31"/>
        <v>0.34563216804513075</v>
      </c>
      <c r="D284" s="575">
        <f t="shared" si="31"/>
        <v>0.33420895501821896</v>
      </c>
      <c r="E284" s="576">
        <f t="shared" si="32"/>
        <v>-1.1423213026911794E-2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0.34972693615392403</v>
      </c>
      <c r="D287" s="547">
        <f t="shared" si="33"/>
        <v>0.3449026705863889</v>
      </c>
      <c r="E287" s="574">
        <f t="shared" ref="E287:E295" si="34">D287-C287</f>
        <v>-4.8242655675351243E-3</v>
      </c>
    </row>
    <row r="288" spans="1:5" x14ac:dyDescent="0.2">
      <c r="A288" s="512">
        <v>2</v>
      </c>
      <c r="B288" s="511" t="s">
        <v>618</v>
      </c>
      <c r="C288" s="547">
        <f t="shared" si="33"/>
        <v>0.1897816558545363</v>
      </c>
      <c r="D288" s="547">
        <f t="shared" si="33"/>
        <v>0.19034456742961284</v>
      </c>
      <c r="E288" s="574">
        <f t="shared" si="34"/>
        <v>5.6291157507654122E-4</v>
      </c>
    </row>
    <row r="289" spans="1:5" x14ac:dyDescent="0.2">
      <c r="A289" s="512">
        <v>3</v>
      </c>
      <c r="B289" s="511" t="s">
        <v>764</v>
      </c>
      <c r="C289" s="547">
        <f t="shared" si="33"/>
        <v>0.17072953022872228</v>
      </c>
      <c r="D289" s="547">
        <f t="shared" si="33"/>
        <v>0.16522110952091593</v>
      </c>
      <c r="E289" s="574">
        <f t="shared" si="34"/>
        <v>-5.5084207078063552E-3</v>
      </c>
    </row>
    <row r="290" spans="1:5" x14ac:dyDescent="0.2">
      <c r="A290" s="512">
        <v>4</v>
      </c>
      <c r="B290" s="511" t="s">
        <v>114</v>
      </c>
      <c r="C290" s="547">
        <f t="shared" si="33"/>
        <v>0.17072953022872228</v>
      </c>
      <c r="D290" s="547">
        <f t="shared" si="33"/>
        <v>0.16522110952091593</v>
      </c>
      <c r="E290" s="574">
        <f t="shared" si="34"/>
        <v>-5.5084207078063552E-3</v>
      </c>
    </row>
    <row r="291" spans="1:5" x14ac:dyDescent="0.2">
      <c r="A291" s="512">
        <v>5</v>
      </c>
      <c r="B291" s="511" t="s">
        <v>731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0.19685735715711228</v>
      </c>
      <c r="D292" s="547">
        <f t="shared" si="33"/>
        <v>0.17613242619662964</v>
      </c>
      <c r="E292" s="574">
        <f t="shared" si="34"/>
        <v>-2.072493096048264E-2</v>
      </c>
    </row>
    <row r="293" spans="1:5" x14ac:dyDescent="0.2">
      <c r="A293" s="512">
        <v>7</v>
      </c>
      <c r="B293" s="511" t="s">
        <v>746</v>
      </c>
      <c r="C293" s="547">
        <f t="shared" si="33"/>
        <v>7.3247365747015833E-2</v>
      </c>
      <c r="D293" s="547">
        <f t="shared" si="33"/>
        <v>8.1154968577927172E-2</v>
      </c>
      <c r="E293" s="574">
        <f t="shared" si="34"/>
        <v>7.9076028309113394E-3</v>
      </c>
    </row>
    <row r="294" spans="1:5" ht="29.25" customHeight="1" x14ac:dyDescent="0.2">
      <c r="A294" s="512"/>
      <c r="B294" s="516" t="s">
        <v>835</v>
      </c>
      <c r="C294" s="575">
        <f t="shared" si="33"/>
        <v>0.17991700087880386</v>
      </c>
      <c r="D294" s="575">
        <f t="shared" si="33"/>
        <v>0.17683381225417366</v>
      </c>
      <c r="E294" s="576">
        <f t="shared" si="34"/>
        <v>-3.0831886246301954E-3</v>
      </c>
    </row>
    <row r="295" spans="1:5" x14ac:dyDescent="0.2">
      <c r="A295" s="512"/>
      <c r="B295" s="516" t="s">
        <v>836</v>
      </c>
      <c r="C295" s="575">
        <f t="shared" si="33"/>
        <v>0.25590546195108627</v>
      </c>
      <c r="D295" s="575">
        <f t="shared" si="33"/>
        <v>0.24949326571884684</v>
      </c>
      <c r="E295" s="576">
        <f t="shared" si="34"/>
        <v>-6.412196232239431E-3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399934985</v>
      </c>
      <c r="D301" s="514">
        <f>+D48+D47+D50+D51+D52+D59+D58+D61+D62+D63</f>
        <v>411967039</v>
      </c>
      <c r="E301" s="514">
        <f>D301-C301</f>
        <v>12032054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399934985</v>
      </c>
      <c r="D303" s="517">
        <f>+D301+D302</f>
        <v>411967039</v>
      </c>
      <c r="E303" s="517">
        <f>D303-C303</f>
        <v>12032054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9679611</v>
      </c>
      <c r="D305" s="578">
        <v>8648960</v>
      </c>
      <c r="E305" s="579">
        <f>D305-C305</f>
        <v>-1030651</v>
      </c>
    </row>
    <row r="306" spans="1:5" x14ac:dyDescent="0.2">
      <c r="A306" s="512">
        <v>4</v>
      </c>
      <c r="B306" s="516" t="s">
        <v>843</v>
      </c>
      <c r="C306" s="580">
        <f>+C303+C305</f>
        <v>409614596</v>
      </c>
      <c r="D306" s="580">
        <f>+D303+D305</f>
        <v>420615999</v>
      </c>
      <c r="E306" s="580">
        <f>D306-C306</f>
        <v>11001403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409615000</v>
      </c>
      <c r="D308" s="513">
        <v>420616000</v>
      </c>
      <c r="E308" s="514">
        <f>D308-C308</f>
        <v>11001000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-404</v>
      </c>
      <c r="D310" s="582">
        <f>D306-D308</f>
        <v>-1</v>
      </c>
      <c r="E310" s="580">
        <f>D310-C310</f>
        <v>403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1300539601</v>
      </c>
      <c r="D314" s="514">
        <f>+D14+D15+D16+D19+D25+D26+D27+D30</f>
        <v>1390797863</v>
      </c>
      <c r="E314" s="514">
        <f>D314-C314</f>
        <v>90258262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1300539601</v>
      </c>
      <c r="D316" s="581">
        <f>D314+D315</f>
        <v>1390797863</v>
      </c>
      <c r="E316" s="517">
        <f>D316-C316</f>
        <v>90258262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1300540000</v>
      </c>
      <c r="D318" s="513">
        <v>1390797862</v>
      </c>
      <c r="E318" s="514">
        <f>D318-C318</f>
        <v>90257862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-399</v>
      </c>
      <c r="D320" s="581">
        <f>D316-D318</f>
        <v>1</v>
      </c>
      <c r="E320" s="517">
        <f>D320-C320</f>
        <v>400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41879774</v>
      </c>
      <c r="D324" s="513">
        <f>+D193+D194</f>
        <v>44804123</v>
      </c>
      <c r="E324" s="514">
        <f>D324-C324</f>
        <v>2924349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41879774</v>
      </c>
      <c r="D326" s="581">
        <f>D324+D325</f>
        <v>44804123</v>
      </c>
      <c r="E326" s="517">
        <f>D326-C326</f>
        <v>2924349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41879774</v>
      </c>
      <c r="D328" s="513">
        <v>44804123</v>
      </c>
      <c r="E328" s="514">
        <f>D328-C328</f>
        <v>2924349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FILING&amp;RBRIDGEPORT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205353607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374698707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186325210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186325210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568230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10522802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561592147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766945754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269703464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163270365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189897024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189897024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981256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36993422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354148645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623852109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475057071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915740792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1390797863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86004341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121076188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49170715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49170715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68895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1360781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170315798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256320139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93021445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31077627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31374997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31374997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172831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3002200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62625455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155646900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179025786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232941253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411967039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5672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7260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5984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5984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20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296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13264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18936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1.2174799999999999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1.5809899999999999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0.97424999999999984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0.97424999999999995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1.05752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1.0761799999999999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1.3064723914354641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1.2798160308407267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413365615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163302210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250063405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0.60494486218937205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1668294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1163756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14777279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30026844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44804123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3724703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403987000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411967039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411967039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8648960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420615999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420616000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1390797863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1390797863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1390797862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44804123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44804123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44804123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FILING&amp;RBRIDGEPORT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1817</v>
      </c>
      <c r="D12" s="49">
        <v>2963</v>
      </c>
      <c r="E12" s="49">
        <f>+D12-C12</f>
        <v>1146</v>
      </c>
      <c r="F12" s="70">
        <f>IF(C12=0,0,+E12/C12)</f>
        <v>0.63070996147495872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1127</v>
      </c>
      <c r="D13" s="49">
        <v>2118</v>
      </c>
      <c r="E13" s="49">
        <f>+D13-C13</f>
        <v>991</v>
      </c>
      <c r="F13" s="70">
        <f>IF(C13=0,0,+E13/C13)</f>
        <v>0.87932564330079854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13664086</v>
      </c>
      <c r="D15" s="51">
        <v>14777279</v>
      </c>
      <c r="E15" s="51">
        <f>+D15-C15</f>
        <v>1113193</v>
      </c>
      <c r="F15" s="70">
        <f>IF(C15=0,0,+E15/C15)</f>
        <v>8.1468529984369237E-2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12124.299911268856</v>
      </c>
      <c r="D16" s="27">
        <f>IF(D13=0,0,+D15/+D13)</f>
        <v>6976.9966949952786</v>
      </c>
      <c r="E16" s="27">
        <f>+D16-C16</f>
        <v>-5147.3032162735772</v>
      </c>
      <c r="F16" s="28">
        <f>IF(C16=0,0,+E16/C16)</f>
        <v>-0.42454436577318977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0.29394799999999999</v>
      </c>
      <c r="D18" s="210">
        <v>0.29336099999999998</v>
      </c>
      <c r="E18" s="210">
        <f>+D18-C18</f>
        <v>-5.8700000000000419E-4</v>
      </c>
      <c r="F18" s="70">
        <f>IF(C18=0,0,+E18/C18)</f>
        <v>-1.9969518418223773E-3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4016530.751528</v>
      </c>
      <c r="D19" s="27">
        <f>+D15*D18</f>
        <v>4335077.3447190002</v>
      </c>
      <c r="E19" s="27">
        <f>+D19-C19</f>
        <v>318546.59319100017</v>
      </c>
      <c r="F19" s="28">
        <f>IF(C19=0,0,+E19/C19)</f>
        <v>7.930888941154407E-2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3563.9137103176577</v>
      </c>
      <c r="D20" s="27">
        <f>IF(D13=0,0,+D19/D13)</f>
        <v>2046.77872744051</v>
      </c>
      <c r="E20" s="27">
        <f>+D20-C20</f>
        <v>-1517.1349828771476</v>
      </c>
      <c r="F20" s="28">
        <f>IF(C20=0,0,+E20/C20)</f>
        <v>-0.42569352296184604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660127</v>
      </c>
      <c r="D22" s="51">
        <v>6736252</v>
      </c>
      <c r="E22" s="51">
        <f>+D22-C22</f>
        <v>6076125</v>
      </c>
      <c r="F22" s="70">
        <f>IF(C22=0,0,+E22/C22)</f>
        <v>9.2044788351332389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9467956</v>
      </c>
      <c r="D23" s="49">
        <v>5561575</v>
      </c>
      <c r="E23" s="49">
        <f>+D23-C23</f>
        <v>-3906381</v>
      </c>
      <c r="F23" s="70">
        <f>IF(C23=0,0,+E23/C23)</f>
        <v>-0.41258968672858215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3536003</v>
      </c>
      <c r="D24" s="49">
        <v>2479452</v>
      </c>
      <c r="E24" s="49">
        <f>+D24-C24</f>
        <v>-1056551</v>
      </c>
      <c r="F24" s="70">
        <f>IF(C24=0,0,+E24/C24)</f>
        <v>-0.29879810622332614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13664086</v>
      </c>
      <c r="D25" s="27">
        <f>+D22+D23+D24</f>
        <v>14777279</v>
      </c>
      <c r="E25" s="27">
        <f>+E22+E23+E24</f>
        <v>1113193</v>
      </c>
      <c r="F25" s="28">
        <f>IF(C25=0,0,+E25/C25)</f>
        <v>8.1468529984369237E-2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2064</v>
      </c>
      <c r="D27" s="49">
        <v>2530</v>
      </c>
      <c r="E27" s="49">
        <f>+D27-C27</f>
        <v>466</v>
      </c>
      <c r="F27" s="70">
        <f>IF(C27=0,0,+E27/C27)</f>
        <v>0.22577519379844962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359</v>
      </c>
      <c r="D28" s="49">
        <v>355</v>
      </c>
      <c r="E28" s="49">
        <f>+D28-C28</f>
        <v>-4</v>
      </c>
      <c r="F28" s="70">
        <f>IF(C28=0,0,+E28/C28)</f>
        <v>-1.1142061281337047E-2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1748</v>
      </c>
      <c r="D29" s="49">
        <v>2178</v>
      </c>
      <c r="E29" s="49">
        <f>+D29-C29</f>
        <v>430</v>
      </c>
      <c r="F29" s="70">
        <f>IF(C29=0,0,+E29/C29)</f>
        <v>0.24599542334096111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5324</v>
      </c>
      <c r="D30" s="49">
        <v>5337</v>
      </c>
      <c r="E30" s="49">
        <f>+D30-C30</f>
        <v>13</v>
      </c>
      <c r="F30" s="70">
        <f>IF(C30=0,0,+E30/C30)</f>
        <v>2.4417731029301279E-3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1363132</v>
      </c>
      <c r="D33" s="51">
        <v>13687796</v>
      </c>
      <c r="E33" s="51">
        <f>+D33-C33</f>
        <v>12324664</v>
      </c>
      <c r="F33" s="70">
        <f>IF(C33=0,0,+E33/C33)</f>
        <v>9.0414310573003931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19550878</v>
      </c>
      <c r="D34" s="49">
        <v>11300899</v>
      </c>
      <c r="E34" s="49">
        <f>+D34-C34</f>
        <v>-8249979</v>
      </c>
      <c r="F34" s="70">
        <f>IF(C34=0,0,+E34/C34)</f>
        <v>-0.42197485964568959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7301678</v>
      </c>
      <c r="D35" s="49">
        <v>5038149</v>
      </c>
      <c r="E35" s="49">
        <f>+D35-C35</f>
        <v>-2263529</v>
      </c>
      <c r="F35" s="70">
        <f>IF(C35=0,0,+E35/C35)</f>
        <v>-0.31000120794151703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28215688</v>
      </c>
      <c r="D36" s="27">
        <f>+D33+D34+D35</f>
        <v>30026844</v>
      </c>
      <c r="E36" s="27">
        <f>+E33+E34+E35</f>
        <v>1811156</v>
      </c>
      <c r="F36" s="28">
        <f>IF(C36=0,0,+E36/C36)</f>
        <v>6.4189680577698471E-2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13664086</v>
      </c>
      <c r="D39" s="51">
        <f>+D25</f>
        <v>14777279</v>
      </c>
      <c r="E39" s="51">
        <f>+D39-C39</f>
        <v>1113193</v>
      </c>
      <c r="F39" s="70">
        <f>IF(C39=0,0,+E39/C39)</f>
        <v>8.1468529984369237E-2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28215688</v>
      </c>
      <c r="D40" s="49">
        <f>+D36</f>
        <v>30026844</v>
      </c>
      <c r="E40" s="49">
        <f>+D40-C40</f>
        <v>1811156</v>
      </c>
      <c r="F40" s="70">
        <f>IF(C40=0,0,+E40/C40)</f>
        <v>6.4189680577698471E-2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41879774</v>
      </c>
      <c r="D41" s="27">
        <f>+D39+D40</f>
        <v>44804123</v>
      </c>
      <c r="E41" s="27">
        <f>+E39+E40</f>
        <v>2924349</v>
      </c>
      <c r="F41" s="28">
        <f>IF(C41=0,0,+E41/C41)</f>
        <v>6.9827239277843289E-2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2023259</v>
      </c>
      <c r="D43" s="51">
        <f t="shared" si="0"/>
        <v>20424048</v>
      </c>
      <c r="E43" s="51">
        <f>+D43-C43</f>
        <v>18400789</v>
      </c>
      <c r="F43" s="70">
        <f>IF(C43=0,0,+E43/C43)</f>
        <v>9.094628517653943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29018834</v>
      </c>
      <c r="D44" s="49">
        <f t="shared" si="0"/>
        <v>16862474</v>
      </c>
      <c r="E44" s="49">
        <f>+D44-C44</f>
        <v>-12156360</v>
      </c>
      <c r="F44" s="70">
        <f>IF(C44=0,0,+E44/C44)</f>
        <v>-0.41891276541297284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10837681</v>
      </c>
      <c r="D45" s="49">
        <f t="shared" si="0"/>
        <v>7517601</v>
      </c>
      <c r="E45" s="49">
        <f>+D45-C45</f>
        <v>-3320080</v>
      </c>
      <c r="F45" s="70">
        <f>IF(C45=0,0,+E45/C45)</f>
        <v>-0.30634597936588093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41879774</v>
      </c>
      <c r="D46" s="27">
        <f>+D43+D44+D45</f>
        <v>44804123</v>
      </c>
      <c r="E46" s="27">
        <f>+E43+E44+E45</f>
        <v>2924349</v>
      </c>
      <c r="F46" s="28">
        <f>IF(C46=0,0,+E46/C46)</f>
        <v>6.9827239277843289E-2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FILING&amp;RBRIDGEPORT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401607588</v>
      </c>
      <c r="D15" s="51">
        <v>413365615</v>
      </c>
      <c r="E15" s="51">
        <f>+D15-C15</f>
        <v>11758027</v>
      </c>
      <c r="F15" s="70">
        <f>+E15/C15</f>
        <v>2.9277402497683885E-2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288477470</v>
      </c>
      <c r="D17" s="51">
        <v>250063405</v>
      </c>
      <c r="E17" s="51">
        <f>+D17-C17</f>
        <v>-38414065</v>
      </c>
      <c r="F17" s="70">
        <f>+E17/C17</f>
        <v>-0.13316140425108414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113130118</v>
      </c>
      <c r="D19" s="27">
        <f>+D15-D17</f>
        <v>163302210</v>
      </c>
      <c r="E19" s="27">
        <f>+D19-C19</f>
        <v>50172092</v>
      </c>
      <c r="F19" s="28">
        <f>+E19/C19</f>
        <v>0.44349014114879648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0.71830682143386193</v>
      </c>
      <c r="D21" s="628">
        <f>+D17/D15</f>
        <v>0.60494486218937205</v>
      </c>
      <c r="E21" s="628">
        <f>+D21-C21</f>
        <v>-0.11336195924448988</v>
      </c>
      <c r="F21" s="28">
        <f>+E21/C21</f>
        <v>-0.15781829694753594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FILING&amp;R&amp;12BRIDGEPORT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711617325</v>
      </c>
      <c r="D10" s="641">
        <v>748047048</v>
      </c>
      <c r="E10" s="641">
        <v>766945754</v>
      </c>
    </row>
    <row r="11" spans="1:6" ht="26.1" customHeight="1" x14ac:dyDescent="0.25">
      <c r="A11" s="639">
        <v>2</v>
      </c>
      <c r="B11" s="640" t="s">
        <v>920</v>
      </c>
      <c r="C11" s="641">
        <v>473972371</v>
      </c>
      <c r="D11" s="641">
        <v>552492553</v>
      </c>
      <c r="E11" s="641">
        <v>623852109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1185589696</v>
      </c>
      <c r="D12" s="641">
        <f>+D11+D10</f>
        <v>1300539601</v>
      </c>
      <c r="E12" s="641">
        <f>+E11+E10</f>
        <v>1390797863</v>
      </c>
    </row>
    <row r="13" spans="1:6" ht="26.1" customHeight="1" x14ac:dyDescent="0.25">
      <c r="A13" s="639">
        <v>4</v>
      </c>
      <c r="B13" s="640" t="s">
        <v>496</v>
      </c>
      <c r="C13" s="641">
        <v>359062000</v>
      </c>
      <c r="D13" s="641">
        <v>409615000</v>
      </c>
      <c r="E13" s="641">
        <v>420616000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350215000</v>
      </c>
      <c r="D16" s="641">
        <v>383278000</v>
      </c>
      <c r="E16" s="641">
        <v>403987000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104729</v>
      </c>
      <c r="D19" s="644">
        <v>104095</v>
      </c>
      <c r="E19" s="644">
        <v>100830</v>
      </c>
    </row>
    <row r="20" spans="1:5" ht="26.1" customHeight="1" x14ac:dyDescent="0.25">
      <c r="A20" s="639">
        <v>2</v>
      </c>
      <c r="B20" s="640" t="s">
        <v>385</v>
      </c>
      <c r="C20" s="645">
        <v>19044</v>
      </c>
      <c r="D20" s="645">
        <v>19058</v>
      </c>
      <c r="E20" s="645">
        <v>18936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5.4993173703003571</v>
      </c>
      <c r="D21" s="646">
        <f>IF(D20=0,0,+D19/D20)</f>
        <v>5.4620107041662296</v>
      </c>
      <c r="E21" s="646">
        <f>IF(E20=0,0,+E19/E20)</f>
        <v>5.3247782002534851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174483.69918816129</v>
      </c>
      <c r="D22" s="645">
        <f>IF(D10=0,0,D19*(D12/D10))</f>
        <v>180977.48013049443</v>
      </c>
      <c r="E22" s="645">
        <f>IF(E10=0,0,E19*(E12/E10))</f>
        <v>182847.54533798486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31728.246878508755</v>
      </c>
      <c r="D23" s="645">
        <f>IF(D10=0,0,D20*(D12/D10))</f>
        <v>33133.856730169195</v>
      </c>
      <c r="E23" s="645">
        <f>IF(E10=0,0,E20*(E12/E10))</f>
        <v>34338.997505901832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1.3083808926696074</v>
      </c>
      <c r="D26" s="647">
        <v>1.2937612078916991</v>
      </c>
      <c r="E26" s="647">
        <v>1.2798160308407267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137025.42250839531</v>
      </c>
      <c r="D27" s="645">
        <f>D19*D26</f>
        <v>134674.07293548642</v>
      </c>
      <c r="E27" s="645">
        <f>E19*E26</f>
        <v>129043.85038967048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24916.805720000004</v>
      </c>
      <c r="D28" s="645">
        <f>D20*D26</f>
        <v>24656.501100000001</v>
      </c>
      <c r="E28" s="645">
        <f>E20*E26</f>
        <v>24234.59636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228291.13810010173</v>
      </c>
      <c r="D29" s="645">
        <f>D22*D26</f>
        <v>234141.64329482446</v>
      </c>
      <c r="E29" s="645">
        <f>E22*E26</f>
        <v>234011.21972342962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41512.631973744974</v>
      </c>
      <c r="D30" s="645">
        <f>D23*D26</f>
        <v>42867.298505334198</v>
      </c>
      <c r="E30" s="645">
        <f>E23*E26</f>
        <v>43947.599491052897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11320.548234013502</v>
      </c>
      <c r="D33" s="641">
        <f>IF(D19=0,0,D12/D19)</f>
        <v>12493.775887410538</v>
      </c>
      <c r="E33" s="641">
        <f>IF(E19=0,0,E12/E19)</f>
        <v>13793.492641079043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62255.28754463348</v>
      </c>
      <c r="D34" s="641">
        <f>IF(D20=0,0,D12/D20)</f>
        <v>68241.137632490296</v>
      </c>
      <c r="E34" s="641">
        <f>IF(E20=0,0,E12/E20)</f>
        <v>73447.288920574574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6794.8450285976178</v>
      </c>
      <c r="D35" s="641">
        <f>IF(D22=0,0,D12/D22)</f>
        <v>7186.195763485277</v>
      </c>
      <c r="E35" s="641">
        <f>IF(E22=0,0,E12/E22)</f>
        <v>7606.3250421501543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37367.00929426591</v>
      </c>
      <c r="D36" s="641">
        <f>IF(D23=0,0,D12/D23)</f>
        <v>39251.0781823906</v>
      </c>
      <c r="E36" s="641">
        <f>IF(E23=0,0,E12/E23)</f>
        <v>40501.993768483313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5193.3233408304241</v>
      </c>
      <c r="D37" s="641">
        <f>IF(D29=0,0,D12/D29)</f>
        <v>5554.499330827698</v>
      </c>
      <c r="E37" s="641">
        <f>IF(E29=0,0,E12/E29)</f>
        <v>5943.2956447290844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28559.733257815031</v>
      </c>
      <c r="D38" s="641">
        <f>IF(D30=0,0,D12/D30)</f>
        <v>30338.734801265051</v>
      </c>
      <c r="E38" s="641">
        <f>IF(E30=0,0,E12/E30)</f>
        <v>31646.73108671491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4078.4172292942949</v>
      </c>
      <c r="D39" s="641">
        <f>IF(D22=0,0,D10/D22)</f>
        <v>4133.3708893538478</v>
      </c>
      <c r="E39" s="641">
        <f>IF(E22=0,0,E10/E22)</f>
        <v>4194.4547441549612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22428.510712390373</v>
      </c>
      <c r="D40" s="641">
        <f>IF(D23=0,0,D10/D23)</f>
        <v>22576.516041939805</v>
      </c>
      <c r="E40" s="641">
        <f>IF(E23=0,0,E10/E23)</f>
        <v>22334.541183626145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3428.4868565535812</v>
      </c>
      <c r="D43" s="641">
        <f>IF(D19=0,0,D13/D19)</f>
        <v>3935.0112877659831</v>
      </c>
      <c r="E43" s="641">
        <f>IF(E19=0,0,E13/E19)</f>
        <v>4171.536249132203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18854.337324091579</v>
      </c>
      <c r="D44" s="641">
        <f>IF(D20=0,0,D13/D20)</f>
        <v>21493.073774792738</v>
      </c>
      <c r="E44" s="641">
        <f>IF(E20=0,0,E13/E20)</f>
        <v>22212.505280946345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2057.8541243144523</v>
      </c>
      <c r="D45" s="641">
        <f>IF(D22=0,0,D13/D22)</f>
        <v>2263.3479022066485</v>
      </c>
      <c r="E45" s="641">
        <f>IF(E22=0,0,E13/E22)</f>
        <v>2300.3644879263302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11316.792931386699</v>
      </c>
      <c r="D46" s="641">
        <f>IF(D23=0,0,D13/D23)</f>
        <v>12362.430469104896</v>
      </c>
      <c r="E46" s="641">
        <f>IF(E23=0,0,E13/E23)</f>
        <v>12248.930677947394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1572.8249593401104</v>
      </c>
      <c r="D47" s="641">
        <f>IF(D29=0,0,D13/D29)</f>
        <v>1749.432498362645</v>
      </c>
      <c r="E47" s="641">
        <f>IF(E29=0,0,E13/E29)</f>
        <v>1797.4180917355698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8649.4636193410206</v>
      </c>
      <c r="D48" s="641">
        <f>IF(D30=0,0,D13/D30)</f>
        <v>9555.4190322730392</v>
      </c>
      <c r="E48" s="641">
        <f>IF(E30=0,0,E13/E30)</f>
        <v>9570.8526716147808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3344.0116873072407</v>
      </c>
      <c r="D51" s="641">
        <f>IF(D19=0,0,D16/D19)</f>
        <v>3682.002017387963</v>
      </c>
      <c r="E51" s="641">
        <f>IF(E19=0,0,E16/E19)</f>
        <v>4006.6150947138749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18389.781558496114</v>
      </c>
      <c r="D52" s="641">
        <f>IF(D20=0,0,D16/D20)</f>
        <v>20111.134431734703</v>
      </c>
      <c r="E52" s="641">
        <f>IF(E20=0,0,E16/E20)</f>
        <v>21334.336713138993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2007.1502474413498</v>
      </c>
      <c r="D53" s="641">
        <f>IF(D22=0,0,D16/D22)</f>
        <v>2117.8215086409432</v>
      </c>
      <c r="E53" s="641">
        <f>IF(E22=0,0,E16/E22)</f>
        <v>2209.4198708177873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11037.956220556876</v>
      </c>
      <c r="D54" s="641">
        <f>IF(D23=0,0,D16/D23)</f>
        <v>11567.563749710305</v>
      </c>
      <c r="E54" s="641">
        <f>IF(E23=0,0,E16/E23)</f>
        <v>11764.670763337424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1534.0718124872494</v>
      </c>
      <c r="D55" s="641">
        <f>IF(D29=0,0,D16/D29)</f>
        <v>1636.9493038766593</v>
      </c>
      <c r="E55" s="641">
        <f>IF(E29=0,0,E16/E29)</f>
        <v>1726.3573963567187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8436.3477656992818</v>
      </c>
      <c r="D56" s="641">
        <f>IF(D30=0,0,D16/D30)</f>
        <v>8941.0346199517735</v>
      </c>
      <c r="E56" s="641">
        <f>IF(E30=0,0,E16/E30)</f>
        <v>9192.4702299666205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48504672</v>
      </c>
      <c r="D59" s="649">
        <v>50710790</v>
      </c>
      <c r="E59" s="649">
        <v>51727848</v>
      </c>
    </row>
    <row r="60" spans="1:6" ht="26.1" customHeight="1" x14ac:dyDescent="0.25">
      <c r="A60" s="639">
        <v>2</v>
      </c>
      <c r="B60" s="640" t="s">
        <v>956</v>
      </c>
      <c r="C60" s="649">
        <v>11454118</v>
      </c>
      <c r="D60" s="649">
        <v>11626907</v>
      </c>
      <c r="E60" s="649">
        <v>13134644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59958790</v>
      </c>
      <c r="D61" s="652">
        <f>D59+D60</f>
        <v>62337697</v>
      </c>
      <c r="E61" s="652">
        <f>E59+E60</f>
        <v>64862492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9466788</v>
      </c>
      <c r="D64" s="641">
        <v>13924825</v>
      </c>
      <c r="E64" s="649">
        <v>10838798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2213435</v>
      </c>
      <c r="D65" s="649">
        <v>955279</v>
      </c>
      <c r="E65" s="649">
        <v>2452958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11680223</v>
      </c>
      <c r="D66" s="654">
        <f>D64+D65</f>
        <v>14880104</v>
      </c>
      <c r="E66" s="654">
        <f>E64+E65</f>
        <v>13291756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70911540</v>
      </c>
      <c r="D69" s="649">
        <v>75549385</v>
      </c>
      <c r="E69" s="649">
        <v>81647354</v>
      </c>
    </row>
    <row r="70" spans="1:6" ht="26.1" customHeight="1" x14ac:dyDescent="0.25">
      <c r="A70" s="639">
        <v>2</v>
      </c>
      <c r="B70" s="640" t="s">
        <v>964</v>
      </c>
      <c r="C70" s="649">
        <v>28140447</v>
      </c>
      <c r="D70" s="649">
        <v>34400814</v>
      </c>
      <c r="E70" s="649">
        <v>31766398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99051987</v>
      </c>
      <c r="D71" s="652">
        <f>D69+D70</f>
        <v>109950199</v>
      </c>
      <c r="E71" s="652">
        <f>E69+E70</f>
        <v>113413752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128883000</v>
      </c>
      <c r="D75" s="641">
        <f t="shared" si="0"/>
        <v>140185000</v>
      </c>
      <c r="E75" s="641">
        <f t="shared" si="0"/>
        <v>144214000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41808000</v>
      </c>
      <c r="D76" s="641">
        <f t="shared" si="0"/>
        <v>46983000</v>
      </c>
      <c r="E76" s="641">
        <f t="shared" si="0"/>
        <v>47354000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170691000</v>
      </c>
      <c r="D77" s="654">
        <f>D75+D76</f>
        <v>187168000</v>
      </c>
      <c r="E77" s="654">
        <f>E75+E76</f>
        <v>191568000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571.6</v>
      </c>
      <c r="D80" s="646">
        <v>580.1</v>
      </c>
      <c r="E80" s="646">
        <v>585.4</v>
      </c>
    </row>
    <row r="81" spans="1:5" ht="26.1" customHeight="1" x14ac:dyDescent="0.25">
      <c r="A81" s="639">
        <v>2</v>
      </c>
      <c r="B81" s="640" t="s">
        <v>597</v>
      </c>
      <c r="C81" s="646">
        <v>139.80000000000001</v>
      </c>
      <c r="D81" s="646">
        <v>135.9</v>
      </c>
      <c r="E81" s="646">
        <v>109.3</v>
      </c>
    </row>
    <row r="82" spans="1:5" ht="26.1" customHeight="1" x14ac:dyDescent="0.25">
      <c r="A82" s="639">
        <v>3</v>
      </c>
      <c r="B82" s="640" t="s">
        <v>970</v>
      </c>
      <c r="C82" s="646">
        <v>1304</v>
      </c>
      <c r="D82" s="646">
        <v>1369.9</v>
      </c>
      <c r="E82" s="646">
        <v>1415.9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2015.4</v>
      </c>
      <c r="D83" s="656">
        <f>D80+D81+D82</f>
        <v>2085.9</v>
      </c>
      <c r="E83" s="656">
        <f>E80+E81+E82</f>
        <v>2110.6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84857.718684394684</v>
      </c>
      <c r="D86" s="649">
        <f>IF(D80=0,0,D59/D80)</f>
        <v>87417.32459920703</v>
      </c>
      <c r="E86" s="649">
        <f>IF(E80=0,0,E59/E80)</f>
        <v>88363.252476938855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20038.694891532541</v>
      </c>
      <c r="D87" s="649">
        <f>IF(D80=0,0,D60/D80)</f>
        <v>20042.935700741251</v>
      </c>
      <c r="E87" s="649">
        <f>IF(E80=0,0,E60/E80)</f>
        <v>22437.041339255211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104896.41357592723</v>
      </c>
      <c r="D88" s="652">
        <f>+D86+D87</f>
        <v>107460.26029994828</v>
      </c>
      <c r="E88" s="652">
        <f>+E86+E87</f>
        <v>110800.29381619407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67716.652360515014</v>
      </c>
      <c r="D91" s="641">
        <f>IF(D81=0,0,D64/D81)</f>
        <v>102463.76011773362</v>
      </c>
      <c r="E91" s="641">
        <f>IF(E81=0,0,E64/E81)</f>
        <v>99165.580969807866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15832.868383404862</v>
      </c>
      <c r="D92" s="641">
        <f>IF(D81=0,0,D65/D81)</f>
        <v>7029.2788815305366</v>
      </c>
      <c r="E92" s="641">
        <f>IF(E81=0,0,E65/E81)</f>
        <v>22442.433668801463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83549.520743919871</v>
      </c>
      <c r="D93" s="654">
        <f>+D91+D92</f>
        <v>109493.03899926416</v>
      </c>
      <c r="E93" s="654">
        <f>+E91+E92</f>
        <v>121608.01463860933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54380.015337423312</v>
      </c>
      <c r="D96" s="649">
        <f>IF(D82=0,0,D69/D82)</f>
        <v>55149.562011825677</v>
      </c>
      <c r="E96" s="649">
        <f>IF(E82=0,0,E69/E82)</f>
        <v>57664.63309555759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21580.097392638036</v>
      </c>
      <c r="D97" s="649">
        <f>IF(D82=0,0,D70/D82)</f>
        <v>25111.916198262647</v>
      </c>
      <c r="E97" s="649">
        <f>IF(E82=0,0,E70/E82)</f>
        <v>22435.481319302209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75960.112730061344</v>
      </c>
      <c r="D98" s="654">
        <f>+D96+D97</f>
        <v>80261.478210088331</v>
      </c>
      <c r="E98" s="654">
        <f>+E96+E97</f>
        <v>80100.114414859796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63949.09199166418</v>
      </c>
      <c r="D101" s="641">
        <f>IF(D83=0,0,D75/D83)</f>
        <v>67206.00220528309</v>
      </c>
      <c r="E101" s="641">
        <f>IF(E83=0,0,E75/E83)</f>
        <v>68328.437411162711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20744.269127716583</v>
      </c>
      <c r="D102" s="658">
        <f>IF(D83=0,0,D76/D83)</f>
        <v>22524.090320724867</v>
      </c>
      <c r="E102" s="658">
        <f>IF(E83=0,0,E76/E83)</f>
        <v>22436.274045295177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84693.361119380759</v>
      </c>
      <c r="D103" s="654">
        <f>+D101+D102</f>
        <v>89730.092526007953</v>
      </c>
      <c r="E103" s="654">
        <f>+E101+E102</f>
        <v>90764.711456457881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1629.8350982058455</v>
      </c>
      <c r="D108" s="641">
        <f>IF(D19=0,0,D77/D19)</f>
        <v>1798.0498583025121</v>
      </c>
      <c r="E108" s="641">
        <f>IF(E19=0,0,E77/E19)</f>
        <v>1899.9107408509371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8962.9804662885945</v>
      </c>
      <c r="D109" s="641">
        <f>IF(D20=0,0,D77/D20)</f>
        <v>9820.9675726728929</v>
      </c>
      <c r="E109" s="641">
        <f>IF(E20=0,0,E77/E20)</f>
        <v>10116.60329531052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978.26330364493651</v>
      </c>
      <c r="D110" s="641">
        <f>IF(D22=0,0,D77/D22)</f>
        <v>1034.2060231197929</v>
      </c>
      <c r="E110" s="641">
        <f>IF(E22=0,0,E77/E22)</f>
        <v>1047.6924896415524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5379.7803784620128</v>
      </c>
      <c r="D111" s="641">
        <f>IF(D23=0,0,D77/D23)</f>
        <v>5648.8443685934972</v>
      </c>
      <c r="E111" s="641">
        <f>IF(E23=0,0,E77/E23)</f>
        <v>5578.7301294126382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747.68999541784638</v>
      </c>
      <c r="D112" s="641">
        <f>IF(D29=0,0,D77/D29)</f>
        <v>799.37937295640916</v>
      </c>
      <c r="E112" s="641">
        <f>IF(E29=0,0,E77/E29)</f>
        <v>818.62741549917178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4111.7845794011573</v>
      </c>
      <c r="D113" s="641">
        <f>IF(D30=0,0,D77/D30)</f>
        <v>4366.2186917775962</v>
      </c>
      <c r="E113" s="641">
        <f>IF(E30=0,0,E77/E30)</f>
        <v>4359.0094161798415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FILING&amp;R&amp;12BRIDGEPORT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1300540000</v>
      </c>
      <c r="D12" s="51">
        <v>1390798000</v>
      </c>
      <c r="E12" s="51">
        <f t="shared" ref="E12:E19" si="0">D12-C12</f>
        <v>90258000</v>
      </c>
      <c r="F12" s="70">
        <f t="shared" ref="F12:F19" si="1">IF(C12=0,0,E12/C12)</f>
        <v>6.9400402909560649E-2</v>
      </c>
    </row>
    <row r="13" spans="1:8" ht="23.1" customHeight="1" x14ac:dyDescent="0.2">
      <c r="A13" s="25">
        <v>2</v>
      </c>
      <c r="B13" s="48" t="s">
        <v>72</v>
      </c>
      <c r="C13" s="51">
        <v>851787000</v>
      </c>
      <c r="D13" s="51">
        <v>932613000</v>
      </c>
      <c r="E13" s="51">
        <f t="shared" si="0"/>
        <v>80826000</v>
      </c>
      <c r="F13" s="70">
        <f t="shared" si="1"/>
        <v>9.4889919663014341E-2</v>
      </c>
    </row>
    <row r="14" spans="1:8" ht="23.1" customHeight="1" x14ac:dyDescent="0.2">
      <c r="A14" s="25">
        <v>3</v>
      </c>
      <c r="B14" s="48" t="s">
        <v>73</v>
      </c>
      <c r="C14" s="51">
        <v>29578000</v>
      </c>
      <c r="D14" s="51">
        <v>28181000</v>
      </c>
      <c r="E14" s="51">
        <f t="shared" si="0"/>
        <v>-1397000</v>
      </c>
      <c r="F14" s="70">
        <f t="shared" si="1"/>
        <v>-4.7231050104807625E-2</v>
      </c>
    </row>
    <row r="15" spans="1:8" ht="23.1" customHeight="1" x14ac:dyDescent="0.2">
      <c r="A15" s="25">
        <v>4</v>
      </c>
      <c r="B15" s="48" t="s">
        <v>74</v>
      </c>
      <c r="C15" s="51">
        <v>9560000</v>
      </c>
      <c r="D15" s="51">
        <v>9388000</v>
      </c>
      <c r="E15" s="51">
        <f t="shared" si="0"/>
        <v>-172000</v>
      </c>
      <c r="F15" s="70">
        <f t="shared" si="1"/>
        <v>-1.7991631799163181E-2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409615000</v>
      </c>
      <c r="D16" s="27">
        <f>D12-D13-D14-D15</f>
        <v>420616000</v>
      </c>
      <c r="E16" s="27">
        <f t="shared" si="0"/>
        <v>11001000</v>
      </c>
      <c r="F16" s="28">
        <f t="shared" si="1"/>
        <v>2.6856926626222185E-2</v>
      </c>
    </row>
    <row r="17" spans="1:7" ht="23.1" customHeight="1" x14ac:dyDescent="0.2">
      <c r="A17" s="25">
        <v>5</v>
      </c>
      <c r="B17" s="48" t="s">
        <v>76</v>
      </c>
      <c r="C17" s="51">
        <v>5876000</v>
      </c>
      <c r="D17" s="51">
        <v>13759000</v>
      </c>
      <c r="E17" s="51">
        <f t="shared" si="0"/>
        <v>7883000</v>
      </c>
      <c r="F17" s="70">
        <f t="shared" si="1"/>
        <v>1.3415588835942818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1831000</v>
      </c>
      <c r="D18" s="51">
        <v>2316000</v>
      </c>
      <c r="E18" s="51">
        <f t="shared" si="0"/>
        <v>485000</v>
      </c>
      <c r="F18" s="70">
        <f t="shared" si="1"/>
        <v>0.26488257782632441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417322000</v>
      </c>
      <c r="D19" s="27">
        <f>SUM(D16:D18)</f>
        <v>436691000</v>
      </c>
      <c r="E19" s="27">
        <f t="shared" si="0"/>
        <v>19369000</v>
      </c>
      <c r="F19" s="28">
        <f t="shared" si="1"/>
        <v>4.6412602259166783E-2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140185000</v>
      </c>
      <c r="D22" s="51">
        <v>144214000</v>
      </c>
      <c r="E22" s="51">
        <f t="shared" ref="E22:E31" si="2">D22-C22</f>
        <v>4029000</v>
      </c>
      <c r="F22" s="70">
        <f t="shared" ref="F22:F31" si="3">IF(C22=0,0,E22/C22)</f>
        <v>2.8740592788101437E-2</v>
      </c>
    </row>
    <row r="23" spans="1:7" ht="23.1" customHeight="1" x14ac:dyDescent="0.2">
      <c r="A23" s="25">
        <v>2</v>
      </c>
      <c r="B23" s="48" t="s">
        <v>81</v>
      </c>
      <c r="C23" s="51">
        <v>46983000</v>
      </c>
      <c r="D23" s="51">
        <v>47354000</v>
      </c>
      <c r="E23" s="51">
        <f t="shared" si="2"/>
        <v>371000</v>
      </c>
      <c r="F23" s="70">
        <f t="shared" si="3"/>
        <v>7.8964731924313046E-3</v>
      </c>
    </row>
    <row r="24" spans="1:7" ht="23.1" customHeight="1" x14ac:dyDescent="0.2">
      <c r="A24" s="25">
        <v>3</v>
      </c>
      <c r="B24" s="48" t="s">
        <v>82</v>
      </c>
      <c r="C24" s="51">
        <v>18061000</v>
      </c>
      <c r="D24" s="51">
        <v>23346000</v>
      </c>
      <c r="E24" s="51">
        <f t="shared" si="2"/>
        <v>5285000</v>
      </c>
      <c r="F24" s="70">
        <f t="shared" si="3"/>
        <v>0.29261945628702729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46888000</v>
      </c>
      <c r="D25" s="51">
        <v>47265000</v>
      </c>
      <c r="E25" s="51">
        <f t="shared" si="2"/>
        <v>377000</v>
      </c>
      <c r="F25" s="70">
        <f t="shared" si="3"/>
        <v>8.0404367855314799E-3</v>
      </c>
    </row>
    <row r="26" spans="1:7" ht="23.1" customHeight="1" x14ac:dyDescent="0.2">
      <c r="A26" s="25">
        <v>5</v>
      </c>
      <c r="B26" s="48" t="s">
        <v>84</v>
      </c>
      <c r="C26" s="51">
        <v>17879000</v>
      </c>
      <c r="D26" s="51">
        <v>20175000</v>
      </c>
      <c r="E26" s="51">
        <f t="shared" si="2"/>
        <v>2296000</v>
      </c>
      <c r="F26" s="70">
        <f t="shared" si="3"/>
        <v>0.12841881536998714</v>
      </c>
    </row>
    <row r="27" spans="1:7" ht="23.1" customHeight="1" x14ac:dyDescent="0.2">
      <c r="A27" s="25">
        <v>6</v>
      </c>
      <c r="B27" s="48" t="s">
        <v>85</v>
      </c>
      <c r="C27" s="51">
        <v>12302000</v>
      </c>
      <c r="D27" s="51">
        <v>16623000</v>
      </c>
      <c r="E27" s="51">
        <f t="shared" si="2"/>
        <v>4321000</v>
      </c>
      <c r="F27" s="70">
        <f t="shared" si="3"/>
        <v>0.35124370021134776</v>
      </c>
    </row>
    <row r="28" spans="1:7" ht="23.1" customHeight="1" x14ac:dyDescent="0.2">
      <c r="A28" s="25">
        <v>7</v>
      </c>
      <c r="B28" s="48" t="s">
        <v>86</v>
      </c>
      <c r="C28" s="51">
        <v>3110000</v>
      </c>
      <c r="D28" s="51">
        <v>2724000</v>
      </c>
      <c r="E28" s="51">
        <f t="shared" si="2"/>
        <v>-386000</v>
      </c>
      <c r="F28" s="70">
        <f t="shared" si="3"/>
        <v>-0.12411575562700965</v>
      </c>
    </row>
    <row r="29" spans="1:7" ht="23.1" customHeight="1" x14ac:dyDescent="0.2">
      <c r="A29" s="25">
        <v>8</v>
      </c>
      <c r="B29" s="48" t="s">
        <v>87</v>
      </c>
      <c r="C29" s="51">
        <v>5829000</v>
      </c>
      <c r="D29" s="51">
        <v>2179000</v>
      </c>
      <c r="E29" s="51">
        <f t="shared" si="2"/>
        <v>-3650000</v>
      </c>
      <c r="F29" s="70">
        <f t="shared" si="3"/>
        <v>-0.62617944758963806</v>
      </c>
    </row>
    <row r="30" spans="1:7" ht="23.1" customHeight="1" x14ac:dyDescent="0.2">
      <c r="A30" s="25">
        <v>9</v>
      </c>
      <c r="B30" s="48" t="s">
        <v>88</v>
      </c>
      <c r="C30" s="51">
        <v>92041000</v>
      </c>
      <c r="D30" s="51">
        <v>100107000</v>
      </c>
      <c r="E30" s="51">
        <f t="shared" si="2"/>
        <v>8066000</v>
      </c>
      <c r="F30" s="70">
        <f t="shared" si="3"/>
        <v>8.763485837833139E-2</v>
      </c>
    </row>
    <row r="31" spans="1:7" ht="23.1" customHeight="1" x14ac:dyDescent="0.25">
      <c r="A31" s="29"/>
      <c r="B31" s="71" t="s">
        <v>89</v>
      </c>
      <c r="C31" s="27">
        <f>SUM(C22:C30)</f>
        <v>383278000</v>
      </c>
      <c r="D31" s="27">
        <f>SUM(D22:D30)</f>
        <v>403987000</v>
      </c>
      <c r="E31" s="27">
        <f t="shared" si="2"/>
        <v>20709000</v>
      </c>
      <c r="F31" s="28">
        <f t="shared" si="3"/>
        <v>5.4031277558325812E-2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34044000</v>
      </c>
      <c r="D33" s="27">
        <f>+D19-D31</f>
        <v>32704000</v>
      </c>
      <c r="E33" s="27">
        <f>D33-C33</f>
        <v>-1340000</v>
      </c>
      <c r="F33" s="28">
        <f>IF(C33=0,0,E33/C33)</f>
        <v>-3.9360827164845492E-2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379000</v>
      </c>
      <c r="D38" s="51">
        <v>829000</v>
      </c>
      <c r="E38" s="51">
        <f>D38-C38</f>
        <v>450000</v>
      </c>
      <c r="F38" s="70">
        <f>IF(C38=0,0,E38/C38)</f>
        <v>1.187335092348285</v>
      </c>
    </row>
    <row r="39" spans="1:6" ht="23.1" customHeight="1" x14ac:dyDescent="0.25">
      <c r="A39" s="20"/>
      <c r="B39" s="71" t="s">
        <v>95</v>
      </c>
      <c r="C39" s="27">
        <f>SUM(C36:C38)</f>
        <v>379000</v>
      </c>
      <c r="D39" s="27">
        <f>SUM(D36:D38)</f>
        <v>829000</v>
      </c>
      <c r="E39" s="27">
        <f>D39-C39</f>
        <v>450000</v>
      </c>
      <c r="F39" s="28">
        <f>IF(C39=0,0,E39/C39)</f>
        <v>1.187335092348285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34423000</v>
      </c>
      <c r="D41" s="27">
        <f>D33+D39</f>
        <v>33533000</v>
      </c>
      <c r="E41" s="27">
        <f>D41-C41</f>
        <v>-890000</v>
      </c>
      <c r="F41" s="28">
        <f>IF(C41=0,0,E41/C41)</f>
        <v>-2.5854806379455596E-2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-417000</v>
      </c>
      <c r="D44" s="51">
        <v>1335000</v>
      </c>
      <c r="E44" s="51">
        <f>D44-C44</f>
        <v>1752000</v>
      </c>
      <c r="F44" s="70">
        <f>IF(C44=0,0,E44/C44)</f>
        <v>-4.2014388489208629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-417000</v>
      </c>
      <c r="D46" s="27">
        <f>SUM(D44:D45)</f>
        <v>1335000</v>
      </c>
      <c r="E46" s="27">
        <f>D46-C46</f>
        <v>1752000</v>
      </c>
      <c r="F46" s="28">
        <f>IF(C46=0,0,E46/C46)</f>
        <v>-4.2014388489208629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34006000</v>
      </c>
      <c r="D48" s="27">
        <f>D41+D46</f>
        <v>34868000</v>
      </c>
      <c r="E48" s="27">
        <f>D48-C48</f>
        <v>862000</v>
      </c>
      <c r="F48" s="28">
        <f>IF(C48=0,0,E48/C48)</f>
        <v>2.5348467917426336E-2</v>
      </c>
    </row>
    <row r="49" spans="1:6" ht="23.1" customHeight="1" x14ac:dyDescent="0.2">
      <c r="A49" s="44"/>
      <c r="B49" s="48" t="s">
        <v>102</v>
      </c>
      <c r="C49" s="51">
        <v>2945000</v>
      </c>
      <c r="D49" s="51">
        <v>6228000</v>
      </c>
      <c r="E49" s="51">
        <f>D49-C49</f>
        <v>3283000</v>
      </c>
      <c r="F49" s="70">
        <f>IF(C49=0,0,E49/C49)</f>
        <v>1.1147707979626487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FILING&amp;RBRIDGEPORT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256830518</v>
      </c>
      <c r="D14" s="97">
        <v>256963012</v>
      </c>
      <c r="E14" s="97">
        <f t="shared" ref="E14:E25" si="0">D14-C14</f>
        <v>132494</v>
      </c>
      <c r="F14" s="98">
        <f t="shared" ref="F14:F25" si="1">IF(C14=0,0,E14/C14)</f>
        <v>5.158810605210086E-4</v>
      </c>
    </row>
    <row r="15" spans="1:6" ht="18" customHeight="1" x14ac:dyDescent="0.25">
      <c r="A15" s="99">
        <v>2</v>
      </c>
      <c r="B15" s="100" t="s">
        <v>113</v>
      </c>
      <c r="C15" s="97">
        <v>99011240</v>
      </c>
      <c r="D15" s="97">
        <v>117735695</v>
      </c>
      <c r="E15" s="97">
        <f t="shared" si="0"/>
        <v>18724455</v>
      </c>
      <c r="F15" s="98">
        <f t="shared" si="1"/>
        <v>0.18911443791634161</v>
      </c>
    </row>
    <row r="16" spans="1:6" ht="18" customHeight="1" x14ac:dyDescent="0.25">
      <c r="A16" s="99">
        <v>3</v>
      </c>
      <c r="B16" s="100" t="s">
        <v>114</v>
      </c>
      <c r="C16" s="97">
        <v>118040849</v>
      </c>
      <c r="D16" s="97">
        <v>172129298</v>
      </c>
      <c r="E16" s="97">
        <f t="shared" si="0"/>
        <v>54088449</v>
      </c>
      <c r="F16" s="98">
        <f t="shared" si="1"/>
        <v>0.45821806144413618</v>
      </c>
    </row>
    <row r="17" spans="1:6" ht="18" customHeight="1" x14ac:dyDescent="0.25">
      <c r="A17" s="99">
        <v>4</v>
      </c>
      <c r="B17" s="100" t="s">
        <v>115</v>
      </c>
      <c r="C17" s="97">
        <v>59941883</v>
      </c>
      <c r="D17" s="97">
        <v>14195912</v>
      </c>
      <c r="E17" s="97">
        <f t="shared" si="0"/>
        <v>-45745971</v>
      </c>
      <c r="F17" s="98">
        <f t="shared" si="1"/>
        <v>-0.76317207118768693</v>
      </c>
    </row>
    <row r="18" spans="1:6" ht="18" customHeight="1" x14ac:dyDescent="0.25">
      <c r="A18" s="99">
        <v>5</v>
      </c>
      <c r="B18" s="100" t="s">
        <v>116</v>
      </c>
      <c r="C18" s="97">
        <v>822407</v>
      </c>
      <c r="D18" s="97">
        <v>568230</v>
      </c>
      <c r="E18" s="97">
        <f t="shared" si="0"/>
        <v>-254177</v>
      </c>
      <c r="F18" s="98">
        <f t="shared" si="1"/>
        <v>-0.30906473315523825</v>
      </c>
    </row>
    <row r="19" spans="1:6" ht="18" customHeight="1" x14ac:dyDescent="0.25">
      <c r="A19" s="99">
        <v>6</v>
      </c>
      <c r="B19" s="100" t="s">
        <v>117</v>
      </c>
      <c r="C19" s="97">
        <v>85892978</v>
      </c>
      <c r="D19" s="97">
        <v>89248393</v>
      </c>
      <c r="E19" s="97">
        <f t="shared" si="0"/>
        <v>3355415</v>
      </c>
      <c r="F19" s="98">
        <f t="shared" si="1"/>
        <v>3.9065067693892279E-2</v>
      </c>
    </row>
    <row r="20" spans="1:6" ht="18" customHeight="1" x14ac:dyDescent="0.25">
      <c r="A20" s="99">
        <v>7</v>
      </c>
      <c r="B20" s="100" t="s">
        <v>118</v>
      </c>
      <c r="C20" s="97">
        <v>108575086</v>
      </c>
      <c r="D20" s="97">
        <v>98765642</v>
      </c>
      <c r="E20" s="97">
        <f t="shared" si="0"/>
        <v>-9809444</v>
      </c>
      <c r="F20" s="98">
        <f t="shared" si="1"/>
        <v>-9.0347098596818054E-2</v>
      </c>
    </row>
    <row r="21" spans="1:6" ht="18" customHeight="1" x14ac:dyDescent="0.25">
      <c r="A21" s="99">
        <v>8</v>
      </c>
      <c r="B21" s="100" t="s">
        <v>119</v>
      </c>
      <c r="C21" s="97">
        <v>9061272</v>
      </c>
      <c r="D21" s="97">
        <v>6816770</v>
      </c>
      <c r="E21" s="97">
        <f t="shared" si="0"/>
        <v>-2244502</v>
      </c>
      <c r="F21" s="98">
        <f t="shared" si="1"/>
        <v>-0.24770275078377518</v>
      </c>
    </row>
    <row r="22" spans="1:6" ht="18" customHeight="1" x14ac:dyDescent="0.25">
      <c r="A22" s="99">
        <v>9</v>
      </c>
      <c r="B22" s="100" t="s">
        <v>120</v>
      </c>
      <c r="C22" s="97">
        <v>9870815</v>
      </c>
      <c r="D22" s="97">
        <v>10522802</v>
      </c>
      <c r="E22" s="97">
        <f t="shared" si="0"/>
        <v>651987</v>
      </c>
      <c r="F22" s="98">
        <f t="shared" si="1"/>
        <v>6.6051992667272158E-2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748047048</v>
      </c>
      <c r="D25" s="103">
        <f>SUM(D14:D24)</f>
        <v>766945754</v>
      </c>
      <c r="E25" s="103">
        <f t="shared" si="0"/>
        <v>18898706</v>
      </c>
      <c r="F25" s="104">
        <f t="shared" si="1"/>
        <v>2.5264060663735152E-2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101413467</v>
      </c>
      <c r="D27" s="97">
        <v>111009607</v>
      </c>
      <c r="E27" s="97">
        <f t="shared" ref="E27:E38" si="2">D27-C27</f>
        <v>9596140</v>
      </c>
      <c r="F27" s="98">
        <f t="shared" ref="F27:F38" si="3">IF(C27=0,0,E27/C27)</f>
        <v>9.4623922087191836E-2</v>
      </c>
    </row>
    <row r="28" spans="1:6" ht="18" customHeight="1" x14ac:dyDescent="0.25">
      <c r="A28" s="99">
        <v>2</v>
      </c>
      <c r="B28" s="100" t="s">
        <v>113</v>
      </c>
      <c r="C28" s="97">
        <v>44340109</v>
      </c>
      <c r="D28" s="97">
        <v>52260758</v>
      </c>
      <c r="E28" s="97">
        <f t="shared" si="2"/>
        <v>7920649</v>
      </c>
      <c r="F28" s="98">
        <f t="shared" si="3"/>
        <v>0.17863395419257991</v>
      </c>
    </row>
    <row r="29" spans="1:6" ht="18" customHeight="1" x14ac:dyDescent="0.25">
      <c r="A29" s="99">
        <v>3</v>
      </c>
      <c r="B29" s="100" t="s">
        <v>114</v>
      </c>
      <c r="C29" s="97">
        <v>67983044</v>
      </c>
      <c r="D29" s="97">
        <v>165343061</v>
      </c>
      <c r="E29" s="97">
        <f t="shared" si="2"/>
        <v>97360017</v>
      </c>
      <c r="F29" s="98">
        <f t="shared" si="3"/>
        <v>1.4321220597300703</v>
      </c>
    </row>
    <row r="30" spans="1:6" ht="18" customHeight="1" x14ac:dyDescent="0.25">
      <c r="A30" s="99">
        <v>4</v>
      </c>
      <c r="B30" s="100" t="s">
        <v>115</v>
      </c>
      <c r="C30" s="97">
        <v>90463084</v>
      </c>
      <c r="D30" s="97">
        <v>24553963</v>
      </c>
      <c r="E30" s="97">
        <f t="shared" si="2"/>
        <v>-65909121</v>
      </c>
      <c r="F30" s="98">
        <f t="shared" si="3"/>
        <v>-0.72857477421397665</v>
      </c>
    </row>
    <row r="31" spans="1:6" ht="18" customHeight="1" x14ac:dyDescent="0.25">
      <c r="A31" s="99">
        <v>5</v>
      </c>
      <c r="B31" s="100" t="s">
        <v>116</v>
      </c>
      <c r="C31" s="97">
        <v>1057263</v>
      </c>
      <c r="D31" s="97">
        <v>981256</v>
      </c>
      <c r="E31" s="97">
        <f t="shared" si="2"/>
        <v>-76007</v>
      </c>
      <c r="F31" s="98">
        <f t="shared" si="3"/>
        <v>-7.1890343273149637E-2</v>
      </c>
    </row>
    <row r="32" spans="1:6" ht="18" customHeight="1" x14ac:dyDescent="0.25">
      <c r="A32" s="99">
        <v>6</v>
      </c>
      <c r="B32" s="100" t="s">
        <v>117</v>
      </c>
      <c r="C32" s="97">
        <v>95032127</v>
      </c>
      <c r="D32" s="97">
        <v>104965241</v>
      </c>
      <c r="E32" s="97">
        <f t="shared" si="2"/>
        <v>9933114</v>
      </c>
      <c r="F32" s="98">
        <f t="shared" si="3"/>
        <v>0.10452374700610458</v>
      </c>
    </row>
    <row r="33" spans="1:6" ht="18" customHeight="1" x14ac:dyDescent="0.25">
      <c r="A33" s="99">
        <v>7</v>
      </c>
      <c r="B33" s="100" t="s">
        <v>118</v>
      </c>
      <c r="C33" s="97">
        <v>113733554</v>
      </c>
      <c r="D33" s="97">
        <v>122054632</v>
      </c>
      <c r="E33" s="97">
        <f t="shared" si="2"/>
        <v>8321078</v>
      </c>
      <c r="F33" s="98">
        <f t="shared" si="3"/>
        <v>7.3162911975827291E-2</v>
      </c>
    </row>
    <row r="34" spans="1:6" ht="18" customHeight="1" x14ac:dyDescent="0.25">
      <c r="A34" s="99">
        <v>8</v>
      </c>
      <c r="B34" s="100" t="s">
        <v>119</v>
      </c>
      <c r="C34" s="97">
        <v>5326638</v>
      </c>
      <c r="D34" s="97">
        <v>5690169</v>
      </c>
      <c r="E34" s="97">
        <f t="shared" si="2"/>
        <v>363531</v>
      </c>
      <c r="F34" s="98">
        <f t="shared" si="3"/>
        <v>6.8247739005353844E-2</v>
      </c>
    </row>
    <row r="35" spans="1:6" ht="18" customHeight="1" x14ac:dyDescent="0.25">
      <c r="A35" s="99">
        <v>9</v>
      </c>
      <c r="B35" s="100" t="s">
        <v>120</v>
      </c>
      <c r="C35" s="97">
        <v>33143267</v>
      </c>
      <c r="D35" s="97">
        <v>36993422</v>
      </c>
      <c r="E35" s="97">
        <f t="shared" si="2"/>
        <v>3850155</v>
      </c>
      <c r="F35" s="98">
        <f t="shared" si="3"/>
        <v>0.11616703326198953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552492553</v>
      </c>
      <c r="D38" s="103">
        <f>SUM(D27:D37)</f>
        <v>623852109</v>
      </c>
      <c r="E38" s="103">
        <f t="shared" si="2"/>
        <v>71359556</v>
      </c>
      <c r="F38" s="104">
        <f t="shared" si="3"/>
        <v>0.12915930832464995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358243985</v>
      </c>
      <c r="D41" s="103">
        <f t="shared" si="4"/>
        <v>367972619</v>
      </c>
      <c r="E41" s="107">
        <f t="shared" ref="E41:E52" si="5">D41-C41</f>
        <v>9728634</v>
      </c>
      <c r="F41" s="108">
        <f t="shared" ref="F41:F52" si="6">IF(C41=0,0,E41/C41)</f>
        <v>2.7156447581387862E-2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143351349</v>
      </c>
      <c r="D42" s="103">
        <f t="shared" si="4"/>
        <v>169996453</v>
      </c>
      <c r="E42" s="107">
        <f t="shared" si="5"/>
        <v>26645104</v>
      </c>
      <c r="F42" s="108">
        <f t="shared" si="6"/>
        <v>0.18587271194776131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186023893</v>
      </c>
      <c r="D43" s="103">
        <f t="shared" si="4"/>
        <v>337472359</v>
      </c>
      <c r="E43" s="107">
        <f t="shared" si="5"/>
        <v>151448466</v>
      </c>
      <c r="F43" s="108">
        <f t="shared" si="6"/>
        <v>0.81413448325156812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150404967</v>
      </c>
      <c r="D44" s="103">
        <f t="shared" si="4"/>
        <v>38749875</v>
      </c>
      <c r="E44" s="107">
        <f t="shared" si="5"/>
        <v>-111655092</v>
      </c>
      <c r="F44" s="108">
        <f t="shared" si="6"/>
        <v>-0.74236306304963984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1879670</v>
      </c>
      <c r="D45" s="103">
        <f t="shared" si="4"/>
        <v>1549486</v>
      </c>
      <c r="E45" s="107">
        <f t="shared" si="5"/>
        <v>-330184</v>
      </c>
      <c r="F45" s="108">
        <f t="shared" si="6"/>
        <v>-0.1756606212792671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180925105</v>
      </c>
      <c r="D46" s="103">
        <f t="shared" si="4"/>
        <v>194213634</v>
      </c>
      <c r="E46" s="107">
        <f t="shared" si="5"/>
        <v>13288529</v>
      </c>
      <c r="F46" s="108">
        <f t="shared" si="6"/>
        <v>7.3447678806100453E-2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222308640</v>
      </c>
      <c r="D47" s="103">
        <f t="shared" si="4"/>
        <v>220820274</v>
      </c>
      <c r="E47" s="107">
        <f t="shared" si="5"/>
        <v>-1488366</v>
      </c>
      <c r="F47" s="108">
        <f t="shared" si="6"/>
        <v>-6.6950434315103538E-3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14387910</v>
      </c>
      <c r="D48" s="103">
        <f t="shared" si="4"/>
        <v>12506939</v>
      </c>
      <c r="E48" s="107">
        <f t="shared" si="5"/>
        <v>-1880971</v>
      </c>
      <c r="F48" s="108">
        <f t="shared" si="6"/>
        <v>-0.13073274714673638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43014082</v>
      </c>
      <c r="D49" s="103">
        <f t="shared" si="4"/>
        <v>47516224</v>
      </c>
      <c r="E49" s="107">
        <f t="shared" si="5"/>
        <v>4502142</v>
      </c>
      <c r="F49" s="108">
        <f t="shared" si="6"/>
        <v>0.10466669961711608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1300539601</v>
      </c>
      <c r="D52" s="112">
        <f>SUM(D41:D51)</f>
        <v>1390797863</v>
      </c>
      <c r="E52" s="111">
        <f t="shared" si="5"/>
        <v>90258262</v>
      </c>
      <c r="F52" s="113">
        <f t="shared" si="6"/>
        <v>6.9400625656150239E-2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88033718</v>
      </c>
      <c r="D57" s="97">
        <v>88185597</v>
      </c>
      <c r="E57" s="97">
        <f t="shared" ref="E57:E68" si="7">D57-C57</f>
        <v>151879</v>
      </c>
      <c r="F57" s="98">
        <f t="shared" ref="F57:F68" si="8">IF(C57=0,0,E57/C57)</f>
        <v>1.725236687152075E-3</v>
      </c>
    </row>
    <row r="58" spans="1:6" ht="18" customHeight="1" x14ac:dyDescent="0.25">
      <c r="A58" s="99">
        <v>2</v>
      </c>
      <c r="B58" s="100" t="s">
        <v>113</v>
      </c>
      <c r="C58" s="97">
        <v>28656812</v>
      </c>
      <c r="D58" s="97">
        <v>32890591</v>
      </c>
      <c r="E58" s="97">
        <f t="shared" si="7"/>
        <v>4233779</v>
      </c>
      <c r="F58" s="98">
        <f t="shared" si="8"/>
        <v>0.14774075357719485</v>
      </c>
    </row>
    <row r="59" spans="1:6" ht="18" customHeight="1" x14ac:dyDescent="0.25">
      <c r="A59" s="99">
        <v>3</v>
      </c>
      <c r="B59" s="100" t="s">
        <v>114</v>
      </c>
      <c r="C59" s="97">
        <v>33310439</v>
      </c>
      <c r="D59" s="97">
        <v>46577283</v>
      </c>
      <c r="E59" s="97">
        <f t="shared" si="7"/>
        <v>13266844</v>
      </c>
      <c r="F59" s="98">
        <f t="shared" si="8"/>
        <v>0.39827886987619709</v>
      </c>
    </row>
    <row r="60" spans="1:6" ht="18" customHeight="1" x14ac:dyDescent="0.25">
      <c r="A60" s="99">
        <v>4</v>
      </c>
      <c r="B60" s="100" t="s">
        <v>115</v>
      </c>
      <c r="C60" s="97">
        <v>12619480</v>
      </c>
      <c r="D60" s="97">
        <v>2593432</v>
      </c>
      <c r="E60" s="97">
        <f t="shared" si="7"/>
        <v>-10026048</v>
      </c>
      <c r="F60" s="98">
        <f t="shared" si="8"/>
        <v>-0.79448978880270815</v>
      </c>
    </row>
    <row r="61" spans="1:6" ht="18" customHeight="1" x14ac:dyDescent="0.25">
      <c r="A61" s="99">
        <v>5</v>
      </c>
      <c r="B61" s="100" t="s">
        <v>116</v>
      </c>
      <c r="C61" s="97">
        <v>162598</v>
      </c>
      <c r="D61" s="97">
        <v>68895</v>
      </c>
      <c r="E61" s="97">
        <f t="shared" si="7"/>
        <v>-93703</v>
      </c>
      <c r="F61" s="98">
        <f t="shared" si="8"/>
        <v>-0.5762863011845164</v>
      </c>
    </row>
    <row r="62" spans="1:6" ht="18" customHeight="1" x14ac:dyDescent="0.25">
      <c r="A62" s="99">
        <v>6</v>
      </c>
      <c r="B62" s="100" t="s">
        <v>117</v>
      </c>
      <c r="C62" s="97">
        <v>38441097</v>
      </c>
      <c r="D62" s="97">
        <v>38236155</v>
      </c>
      <c r="E62" s="97">
        <f t="shared" si="7"/>
        <v>-204942</v>
      </c>
      <c r="F62" s="98">
        <f t="shared" si="8"/>
        <v>-5.3313254822046309E-3</v>
      </c>
    </row>
    <row r="63" spans="1:6" ht="18" customHeight="1" x14ac:dyDescent="0.25">
      <c r="A63" s="99">
        <v>7</v>
      </c>
      <c r="B63" s="100" t="s">
        <v>118</v>
      </c>
      <c r="C63" s="97">
        <v>45583877</v>
      </c>
      <c r="D63" s="97">
        <v>39617061</v>
      </c>
      <c r="E63" s="97">
        <f t="shared" si="7"/>
        <v>-5966816</v>
      </c>
      <c r="F63" s="98">
        <f t="shared" si="8"/>
        <v>-0.13089751009989783</v>
      </c>
    </row>
    <row r="64" spans="1:6" ht="18" customHeight="1" x14ac:dyDescent="0.25">
      <c r="A64" s="99">
        <v>8</v>
      </c>
      <c r="B64" s="100" t="s">
        <v>119</v>
      </c>
      <c r="C64" s="97">
        <v>8970365</v>
      </c>
      <c r="D64" s="97">
        <v>6790344</v>
      </c>
      <c r="E64" s="97">
        <f t="shared" si="7"/>
        <v>-2180021</v>
      </c>
      <c r="F64" s="98">
        <f t="shared" si="8"/>
        <v>-0.24302478215769369</v>
      </c>
    </row>
    <row r="65" spans="1:6" ht="18" customHeight="1" x14ac:dyDescent="0.25">
      <c r="A65" s="99">
        <v>9</v>
      </c>
      <c r="B65" s="100" t="s">
        <v>120</v>
      </c>
      <c r="C65" s="97">
        <v>2770737</v>
      </c>
      <c r="D65" s="97">
        <v>1360781</v>
      </c>
      <c r="E65" s="97">
        <f t="shared" si="7"/>
        <v>-1409956</v>
      </c>
      <c r="F65" s="98">
        <f t="shared" si="8"/>
        <v>-0.50887399273189771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258549123</v>
      </c>
      <c r="D68" s="103">
        <f>SUM(D57:D67)</f>
        <v>256320139</v>
      </c>
      <c r="E68" s="103">
        <f t="shared" si="7"/>
        <v>-2228984</v>
      </c>
      <c r="F68" s="104">
        <f t="shared" si="8"/>
        <v>-8.6211238086466076E-3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17621583</v>
      </c>
      <c r="D70" s="97">
        <v>19370049</v>
      </c>
      <c r="E70" s="97">
        <f t="shared" ref="E70:E81" si="9">D70-C70</f>
        <v>1748466</v>
      </c>
      <c r="F70" s="98">
        <f t="shared" ref="F70:F81" si="10">IF(C70=0,0,E70/C70)</f>
        <v>9.9222981272454353E-2</v>
      </c>
    </row>
    <row r="71" spans="1:6" ht="18" customHeight="1" x14ac:dyDescent="0.25">
      <c r="A71" s="99">
        <v>2</v>
      </c>
      <c r="B71" s="100" t="s">
        <v>113</v>
      </c>
      <c r="C71" s="97">
        <v>10039772</v>
      </c>
      <c r="D71" s="97">
        <v>11707578</v>
      </c>
      <c r="E71" s="97">
        <f t="shared" si="9"/>
        <v>1667806</v>
      </c>
      <c r="F71" s="98">
        <f t="shared" si="10"/>
        <v>0.166119907902291</v>
      </c>
    </row>
    <row r="72" spans="1:6" ht="18" customHeight="1" x14ac:dyDescent="0.25">
      <c r="A72" s="99">
        <v>3</v>
      </c>
      <c r="B72" s="100" t="s">
        <v>114</v>
      </c>
      <c r="C72" s="97">
        <v>10188015</v>
      </c>
      <c r="D72" s="97">
        <v>26848845</v>
      </c>
      <c r="E72" s="97">
        <f t="shared" si="9"/>
        <v>16660830</v>
      </c>
      <c r="F72" s="98">
        <f t="shared" si="10"/>
        <v>1.6353362259478417</v>
      </c>
    </row>
    <row r="73" spans="1:6" ht="18" customHeight="1" x14ac:dyDescent="0.25">
      <c r="A73" s="99">
        <v>4</v>
      </c>
      <c r="B73" s="100" t="s">
        <v>115</v>
      </c>
      <c r="C73" s="97">
        <v>16863418</v>
      </c>
      <c r="D73" s="97">
        <v>4526152</v>
      </c>
      <c r="E73" s="97">
        <f t="shared" si="9"/>
        <v>-12337266</v>
      </c>
      <c r="F73" s="98">
        <f t="shared" si="10"/>
        <v>-0.73159937089859239</v>
      </c>
    </row>
    <row r="74" spans="1:6" ht="18" customHeight="1" x14ac:dyDescent="0.25">
      <c r="A74" s="99">
        <v>5</v>
      </c>
      <c r="B74" s="100" t="s">
        <v>116</v>
      </c>
      <c r="C74" s="97">
        <v>208130</v>
      </c>
      <c r="D74" s="97">
        <v>172831</v>
      </c>
      <c r="E74" s="97">
        <f t="shared" si="9"/>
        <v>-35299</v>
      </c>
      <c r="F74" s="98">
        <f t="shared" si="10"/>
        <v>-0.16960073031278528</v>
      </c>
    </row>
    <row r="75" spans="1:6" ht="18" customHeight="1" x14ac:dyDescent="0.25">
      <c r="A75" s="99">
        <v>6</v>
      </c>
      <c r="B75" s="100" t="s">
        <v>117</v>
      </c>
      <c r="C75" s="97">
        <v>36262117</v>
      </c>
      <c r="D75" s="97">
        <v>39516534</v>
      </c>
      <c r="E75" s="97">
        <f t="shared" si="9"/>
        <v>3254417</v>
      </c>
      <c r="F75" s="98">
        <f t="shared" si="10"/>
        <v>8.9747021664510096E-2</v>
      </c>
    </row>
    <row r="76" spans="1:6" ht="18" customHeight="1" x14ac:dyDescent="0.25">
      <c r="A76" s="99">
        <v>7</v>
      </c>
      <c r="B76" s="100" t="s">
        <v>118</v>
      </c>
      <c r="C76" s="97">
        <v>42502347</v>
      </c>
      <c r="D76" s="97">
        <v>44834601</v>
      </c>
      <c r="E76" s="97">
        <f t="shared" si="9"/>
        <v>2332254</v>
      </c>
      <c r="F76" s="98">
        <f t="shared" si="10"/>
        <v>5.4873534395641729E-2</v>
      </c>
    </row>
    <row r="77" spans="1:6" ht="18" customHeight="1" x14ac:dyDescent="0.25">
      <c r="A77" s="99">
        <v>8</v>
      </c>
      <c r="B77" s="100" t="s">
        <v>119</v>
      </c>
      <c r="C77" s="97">
        <v>5272823</v>
      </c>
      <c r="D77" s="97">
        <v>5668110</v>
      </c>
      <c r="E77" s="97">
        <f t="shared" si="9"/>
        <v>395287</v>
      </c>
      <c r="F77" s="98">
        <f t="shared" si="10"/>
        <v>7.4966863101606107E-2</v>
      </c>
    </row>
    <row r="78" spans="1:6" ht="18" customHeight="1" x14ac:dyDescent="0.25">
      <c r="A78" s="99">
        <v>9</v>
      </c>
      <c r="B78" s="100" t="s">
        <v>120</v>
      </c>
      <c r="C78" s="97">
        <v>2427657</v>
      </c>
      <c r="D78" s="97">
        <v>3002200</v>
      </c>
      <c r="E78" s="97">
        <f t="shared" si="9"/>
        <v>574543</v>
      </c>
      <c r="F78" s="98">
        <f t="shared" si="10"/>
        <v>0.23666564098635021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141385862</v>
      </c>
      <c r="D81" s="103">
        <f>SUM(D70:D80)</f>
        <v>155646900</v>
      </c>
      <c r="E81" s="103">
        <f t="shared" si="9"/>
        <v>14261038</v>
      </c>
      <c r="F81" s="104">
        <f t="shared" si="10"/>
        <v>0.1008660823527037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105655301</v>
      </c>
      <c r="D84" s="103">
        <f t="shared" si="11"/>
        <v>107555646</v>
      </c>
      <c r="E84" s="103">
        <f t="shared" ref="E84:E95" si="12">D84-C84</f>
        <v>1900345</v>
      </c>
      <c r="F84" s="104">
        <f t="shared" ref="F84:F95" si="13">IF(C84=0,0,E84/C84)</f>
        <v>1.7986272170101528E-2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38696584</v>
      </c>
      <c r="D85" s="103">
        <f t="shared" si="11"/>
        <v>44598169</v>
      </c>
      <c r="E85" s="103">
        <f t="shared" si="12"/>
        <v>5901585</v>
      </c>
      <c r="F85" s="104">
        <f t="shared" si="13"/>
        <v>0.1525091982279366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43498454</v>
      </c>
      <c r="D86" s="103">
        <f t="shared" si="11"/>
        <v>73426128</v>
      </c>
      <c r="E86" s="103">
        <f t="shared" si="12"/>
        <v>29927674</v>
      </c>
      <c r="F86" s="104">
        <f t="shared" si="13"/>
        <v>0.68801695802797957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29482898</v>
      </c>
      <c r="D87" s="103">
        <f t="shared" si="11"/>
        <v>7119584</v>
      </c>
      <c r="E87" s="103">
        <f t="shared" si="12"/>
        <v>-22363314</v>
      </c>
      <c r="F87" s="104">
        <f t="shared" si="13"/>
        <v>-0.7585181755199234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370728</v>
      </c>
      <c r="D88" s="103">
        <f t="shared" si="11"/>
        <v>241726</v>
      </c>
      <c r="E88" s="103">
        <f t="shared" si="12"/>
        <v>-129002</v>
      </c>
      <c r="F88" s="104">
        <f t="shared" si="13"/>
        <v>-0.34796940074663907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74703214</v>
      </c>
      <c r="D89" s="103">
        <f t="shared" si="11"/>
        <v>77752689</v>
      </c>
      <c r="E89" s="103">
        <f t="shared" si="12"/>
        <v>3049475</v>
      </c>
      <c r="F89" s="104">
        <f t="shared" si="13"/>
        <v>4.0821202150686582E-2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88086224</v>
      </c>
      <c r="D90" s="103">
        <f t="shared" si="11"/>
        <v>84451662</v>
      </c>
      <c r="E90" s="103">
        <f t="shared" si="12"/>
        <v>-3634562</v>
      </c>
      <c r="F90" s="104">
        <f t="shared" si="13"/>
        <v>-4.1261412227183221E-2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14243188</v>
      </c>
      <c r="D91" s="103">
        <f t="shared" si="11"/>
        <v>12458454</v>
      </c>
      <c r="E91" s="103">
        <f t="shared" si="12"/>
        <v>-1784734</v>
      </c>
      <c r="F91" s="104">
        <f t="shared" si="13"/>
        <v>-0.12530439112367259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5198394</v>
      </c>
      <c r="D92" s="103">
        <f t="shared" si="11"/>
        <v>4362981</v>
      </c>
      <c r="E92" s="103">
        <f t="shared" si="12"/>
        <v>-835413</v>
      </c>
      <c r="F92" s="104">
        <f t="shared" si="13"/>
        <v>-0.16070597957753877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399934985</v>
      </c>
      <c r="D95" s="112">
        <f>SUM(D84:D94)</f>
        <v>411967039</v>
      </c>
      <c r="E95" s="112">
        <f t="shared" si="12"/>
        <v>12032054</v>
      </c>
      <c r="F95" s="113">
        <f t="shared" si="13"/>
        <v>3.0085024944741957E-2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4903</v>
      </c>
      <c r="D100" s="117">
        <v>5067</v>
      </c>
      <c r="E100" s="117">
        <f t="shared" ref="E100:E111" si="14">D100-C100</f>
        <v>164</v>
      </c>
      <c r="F100" s="98">
        <f t="shared" ref="F100:F111" si="15">IF(C100=0,0,E100/C100)</f>
        <v>3.3448908831327756E-2</v>
      </c>
    </row>
    <row r="101" spans="1:6" ht="18" customHeight="1" x14ac:dyDescent="0.25">
      <c r="A101" s="99">
        <v>2</v>
      </c>
      <c r="B101" s="100" t="s">
        <v>113</v>
      </c>
      <c r="C101" s="117">
        <v>2029</v>
      </c>
      <c r="D101" s="117">
        <v>2193</v>
      </c>
      <c r="E101" s="117">
        <f t="shared" si="14"/>
        <v>164</v>
      </c>
      <c r="F101" s="98">
        <f t="shared" si="15"/>
        <v>8.0827994085756527E-2</v>
      </c>
    </row>
    <row r="102" spans="1:6" ht="18" customHeight="1" x14ac:dyDescent="0.25">
      <c r="A102" s="99">
        <v>3</v>
      </c>
      <c r="B102" s="100" t="s">
        <v>114</v>
      </c>
      <c r="C102" s="117">
        <v>3097</v>
      </c>
      <c r="D102" s="117">
        <v>5312</v>
      </c>
      <c r="E102" s="117">
        <f t="shared" si="14"/>
        <v>2215</v>
      </c>
      <c r="F102" s="98">
        <f t="shared" si="15"/>
        <v>0.71520826606393284</v>
      </c>
    </row>
    <row r="103" spans="1:6" ht="18" customHeight="1" x14ac:dyDescent="0.25">
      <c r="A103" s="99">
        <v>4</v>
      </c>
      <c r="B103" s="100" t="s">
        <v>115</v>
      </c>
      <c r="C103" s="117">
        <v>2907</v>
      </c>
      <c r="D103" s="117">
        <v>672</v>
      </c>
      <c r="E103" s="117">
        <f t="shared" si="14"/>
        <v>-2235</v>
      </c>
      <c r="F103" s="98">
        <f t="shared" si="15"/>
        <v>-0.7688338493292054</v>
      </c>
    </row>
    <row r="104" spans="1:6" ht="18" customHeight="1" x14ac:dyDescent="0.25">
      <c r="A104" s="99">
        <v>5</v>
      </c>
      <c r="B104" s="100" t="s">
        <v>116</v>
      </c>
      <c r="C104" s="117">
        <v>33</v>
      </c>
      <c r="D104" s="117">
        <v>20</v>
      </c>
      <c r="E104" s="117">
        <f t="shared" si="14"/>
        <v>-13</v>
      </c>
      <c r="F104" s="98">
        <f t="shared" si="15"/>
        <v>-0.39393939393939392</v>
      </c>
    </row>
    <row r="105" spans="1:6" ht="18" customHeight="1" x14ac:dyDescent="0.25">
      <c r="A105" s="99">
        <v>6</v>
      </c>
      <c r="B105" s="100" t="s">
        <v>117</v>
      </c>
      <c r="C105" s="117">
        <v>2538</v>
      </c>
      <c r="D105" s="117">
        <v>2495</v>
      </c>
      <c r="E105" s="117">
        <f t="shared" si="14"/>
        <v>-43</v>
      </c>
      <c r="F105" s="98">
        <f t="shared" si="15"/>
        <v>-1.69424743892829E-2</v>
      </c>
    </row>
    <row r="106" spans="1:6" ht="18" customHeight="1" x14ac:dyDescent="0.25">
      <c r="A106" s="99">
        <v>7</v>
      </c>
      <c r="B106" s="100" t="s">
        <v>118</v>
      </c>
      <c r="C106" s="117">
        <v>3136</v>
      </c>
      <c r="D106" s="117">
        <v>2751</v>
      </c>
      <c r="E106" s="117">
        <f t="shared" si="14"/>
        <v>-385</v>
      </c>
      <c r="F106" s="98">
        <f t="shared" si="15"/>
        <v>-0.12276785714285714</v>
      </c>
    </row>
    <row r="107" spans="1:6" ht="18" customHeight="1" x14ac:dyDescent="0.25">
      <c r="A107" s="99">
        <v>8</v>
      </c>
      <c r="B107" s="100" t="s">
        <v>119</v>
      </c>
      <c r="C107" s="117">
        <v>153</v>
      </c>
      <c r="D107" s="117">
        <v>130</v>
      </c>
      <c r="E107" s="117">
        <f t="shared" si="14"/>
        <v>-23</v>
      </c>
      <c r="F107" s="98">
        <f t="shared" si="15"/>
        <v>-0.15032679738562091</v>
      </c>
    </row>
    <row r="108" spans="1:6" ht="18" customHeight="1" x14ac:dyDescent="0.25">
      <c r="A108" s="99">
        <v>9</v>
      </c>
      <c r="B108" s="100" t="s">
        <v>120</v>
      </c>
      <c r="C108" s="117">
        <v>262</v>
      </c>
      <c r="D108" s="117">
        <v>296</v>
      </c>
      <c r="E108" s="117">
        <f t="shared" si="14"/>
        <v>34</v>
      </c>
      <c r="F108" s="98">
        <f t="shared" si="15"/>
        <v>0.12977099236641221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19058</v>
      </c>
      <c r="D111" s="118">
        <f>SUM(D100:D110)</f>
        <v>18936</v>
      </c>
      <c r="E111" s="118">
        <f t="shared" si="14"/>
        <v>-122</v>
      </c>
      <c r="F111" s="104">
        <f t="shared" si="15"/>
        <v>-6.4015111764088575E-3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37718</v>
      </c>
      <c r="D113" s="117">
        <v>36126</v>
      </c>
      <c r="E113" s="117">
        <f t="shared" ref="E113:E124" si="16">D113-C113</f>
        <v>-1592</v>
      </c>
      <c r="F113" s="98">
        <f t="shared" ref="F113:F124" si="17">IF(C113=0,0,E113/C113)</f>
        <v>-4.2207964367145662E-2</v>
      </c>
    </row>
    <row r="114" spans="1:6" ht="18" customHeight="1" x14ac:dyDescent="0.25">
      <c r="A114" s="99">
        <v>2</v>
      </c>
      <c r="B114" s="100" t="s">
        <v>113</v>
      </c>
      <c r="C114" s="117">
        <v>13621</v>
      </c>
      <c r="D114" s="117">
        <v>14559</v>
      </c>
      <c r="E114" s="117">
        <f t="shared" si="16"/>
        <v>938</v>
      </c>
      <c r="F114" s="98">
        <f t="shared" si="17"/>
        <v>6.886425372586448E-2</v>
      </c>
    </row>
    <row r="115" spans="1:6" ht="18" customHeight="1" x14ac:dyDescent="0.25">
      <c r="A115" s="99">
        <v>3</v>
      </c>
      <c r="B115" s="100" t="s">
        <v>114</v>
      </c>
      <c r="C115" s="117">
        <v>17984</v>
      </c>
      <c r="D115" s="117">
        <v>24584</v>
      </c>
      <c r="E115" s="117">
        <f t="shared" si="16"/>
        <v>6600</v>
      </c>
      <c r="F115" s="98">
        <f t="shared" si="17"/>
        <v>0.36699288256227758</v>
      </c>
    </row>
    <row r="116" spans="1:6" ht="18" customHeight="1" x14ac:dyDescent="0.25">
      <c r="A116" s="99">
        <v>4</v>
      </c>
      <c r="B116" s="100" t="s">
        <v>115</v>
      </c>
      <c r="C116" s="117">
        <v>9126</v>
      </c>
      <c r="D116" s="117">
        <v>2036</v>
      </c>
      <c r="E116" s="117">
        <f t="shared" si="16"/>
        <v>-7090</v>
      </c>
      <c r="F116" s="98">
        <f t="shared" si="17"/>
        <v>-0.77690116151654609</v>
      </c>
    </row>
    <row r="117" spans="1:6" ht="18" customHeight="1" x14ac:dyDescent="0.25">
      <c r="A117" s="99">
        <v>5</v>
      </c>
      <c r="B117" s="100" t="s">
        <v>116</v>
      </c>
      <c r="C117" s="117">
        <v>126</v>
      </c>
      <c r="D117" s="117">
        <v>71</v>
      </c>
      <c r="E117" s="117">
        <f t="shared" si="16"/>
        <v>-55</v>
      </c>
      <c r="F117" s="98">
        <f t="shared" si="17"/>
        <v>-0.43650793650793651</v>
      </c>
    </row>
    <row r="118" spans="1:6" ht="18" customHeight="1" x14ac:dyDescent="0.25">
      <c r="A118" s="99">
        <v>6</v>
      </c>
      <c r="B118" s="100" t="s">
        <v>117</v>
      </c>
      <c r="C118" s="117">
        <v>10601</v>
      </c>
      <c r="D118" s="117">
        <v>10396</v>
      </c>
      <c r="E118" s="117">
        <f t="shared" si="16"/>
        <v>-205</v>
      </c>
      <c r="F118" s="98">
        <f t="shared" si="17"/>
        <v>-1.9337798320913122E-2</v>
      </c>
    </row>
    <row r="119" spans="1:6" ht="18" customHeight="1" x14ac:dyDescent="0.25">
      <c r="A119" s="99">
        <v>7</v>
      </c>
      <c r="B119" s="100" t="s">
        <v>118</v>
      </c>
      <c r="C119" s="117">
        <v>13129</v>
      </c>
      <c r="D119" s="117">
        <v>11195</v>
      </c>
      <c r="E119" s="117">
        <f t="shared" si="16"/>
        <v>-1934</v>
      </c>
      <c r="F119" s="98">
        <f t="shared" si="17"/>
        <v>-0.14730748724198339</v>
      </c>
    </row>
    <row r="120" spans="1:6" ht="18" customHeight="1" x14ac:dyDescent="0.25">
      <c r="A120" s="99">
        <v>8</v>
      </c>
      <c r="B120" s="100" t="s">
        <v>119</v>
      </c>
      <c r="C120" s="117">
        <v>684</v>
      </c>
      <c r="D120" s="117">
        <v>531</v>
      </c>
      <c r="E120" s="117">
        <f t="shared" si="16"/>
        <v>-153</v>
      </c>
      <c r="F120" s="98">
        <f t="shared" si="17"/>
        <v>-0.22368421052631579</v>
      </c>
    </row>
    <row r="121" spans="1:6" ht="18" customHeight="1" x14ac:dyDescent="0.25">
      <c r="A121" s="99">
        <v>9</v>
      </c>
      <c r="B121" s="100" t="s">
        <v>120</v>
      </c>
      <c r="C121" s="117">
        <v>1106</v>
      </c>
      <c r="D121" s="117">
        <v>1332</v>
      </c>
      <c r="E121" s="117">
        <f t="shared" si="16"/>
        <v>226</v>
      </c>
      <c r="F121" s="98">
        <f t="shared" si="17"/>
        <v>0.20433996383363473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104095</v>
      </c>
      <c r="D124" s="118">
        <f>SUM(D113:D123)</f>
        <v>100830</v>
      </c>
      <c r="E124" s="118">
        <f t="shared" si="16"/>
        <v>-3265</v>
      </c>
      <c r="F124" s="104">
        <f t="shared" si="17"/>
        <v>-3.1365579518708872E-2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29971</v>
      </c>
      <c r="D126" s="117">
        <v>32884</v>
      </c>
      <c r="E126" s="117">
        <f t="shared" ref="E126:E137" si="18">D126-C126</f>
        <v>2913</v>
      </c>
      <c r="F126" s="98">
        <f t="shared" ref="F126:F137" si="19">IF(C126=0,0,E126/C126)</f>
        <v>9.7193954155683826E-2</v>
      </c>
    </row>
    <row r="127" spans="1:6" ht="18" customHeight="1" x14ac:dyDescent="0.25">
      <c r="A127" s="99">
        <v>2</v>
      </c>
      <c r="B127" s="100" t="s">
        <v>113</v>
      </c>
      <c r="C127" s="117">
        <v>11973</v>
      </c>
      <c r="D127" s="117">
        <v>14125</v>
      </c>
      <c r="E127" s="117">
        <f t="shared" si="18"/>
        <v>2152</v>
      </c>
      <c r="F127" s="98">
        <f t="shared" si="19"/>
        <v>0.17973774325565856</v>
      </c>
    </row>
    <row r="128" spans="1:6" ht="18" customHeight="1" x14ac:dyDescent="0.25">
      <c r="A128" s="99">
        <v>3</v>
      </c>
      <c r="B128" s="100" t="s">
        <v>114</v>
      </c>
      <c r="C128" s="117">
        <v>32218</v>
      </c>
      <c r="D128" s="117">
        <v>75804</v>
      </c>
      <c r="E128" s="117">
        <f t="shared" si="18"/>
        <v>43586</v>
      </c>
      <c r="F128" s="98">
        <f t="shared" si="19"/>
        <v>1.3528462350238997</v>
      </c>
    </row>
    <row r="129" spans="1:6" ht="18" customHeight="1" x14ac:dyDescent="0.25">
      <c r="A129" s="99">
        <v>4</v>
      </c>
      <c r="B129" s="100" t="s">
        <v>115</v>
      </c>
      <c r="C129" s="117">
        <v>53160</v>
      </c>
      <c r="D129" s="117">
        <v>13178</v>
      </c>
      <c r="E129" s="117">
        <f t="shared" si="18"/>
        <v>-39982</v>
      </c>
      <c r="F129" s="98">
        <f t="shared" si="19"/>
        <v>-0.75210684725357413</v>
      </c>
    </row>
    <row r="130" spans="1:6" ht="18" customHeight="1" x14ac:dyDescent="0.25">
      <c r="A130" s="99">
        <v>5</v>
      </c>
      <c r="B130" s="100" t="s">
        <v>116</v>
      </c>
      <c r="C130" s="117">
        <v>470</v>
      </c>
      <c r="D130" s="117">
        <v>462</v>
      </c>
      <c r="E130" s="117">
        <f t="shared" si="18"/>
        <v>-8</v>
      </c>
      <c r="F130" s="98">
        <f t="shared" si="19"/>
        <v>-1.7021276595744681E-2</v>
      </c>
    </row>
    <row r="131" spans="1:6" ht="18" customHeight="1" x14ac:dyDescent="0.25">
      <c r="A131" s="99">
        <v>6</v>
      </c>
      <c r="B131" s="100" t="s">
        <v>117</v>
      </c>
      <c r="C131" s="117">
        <v>35557</v>
      </c>
      <c r="D131" s="117">
        <v>38037</v>
      </c>
      <c r="E131" s="117">
        <f t="shared" si="18"/>
        <v>2480</v>
      </c>
      <c r="F131" s="98">
        <f t="shared" si="19"/>
        <v>6.9747166521360066E-2</v>
      </c>
    </row>
    <row r="132" spans="1:6" ht="18" customHeight="1" x14ac:dyDescent="0.25">
      <c r="A132" s="99">
        <v>7</v>
      </c>
      <c r="B132" s="100" t="s">
        <v>118</v>
      </c>
      <c r="C132" s="117">
        <v>38887</v>
      </c>
      <c r="D132" s="117">
        <v>40372</v>
      </c>
      <c r="E132" s="117">
        <f t="shared" si="18"/>
        <v>1485</v>
      </c>
      <c r="F132" s="98">
        <f t="shared" si="19"/>
        <v>3.8187569110499656E-2</v>
      </c>
    </row>
    <row r="133" spans="1:6" ht="18" customHeight="1" x14ac:dyDescent="0.25">
      <c r="A133" s="99">
        <v>8</v>
      </c>
      <c r="B133" s="100" t="s">
        <v>119</v>
      </c>
      <c r="C133" s="117">
        <v>1602</v>
      </c>
      <c r="D133" s="117">
        <v>1511</v>
      </c>
      <c r="E133" s="117">
        <f t="shared" si="18"/>
        <v>-91</v>
      </c>
      <c r="F133" s="98">
        <f t="shared" si="19"/>
        <v>-5.6803995006242197E-2</v>
      </c>
    </row>
    <row r="134" spans="1:6" ht="18" customHeight="1" x14ac:dyDescent="0.25">
      <c r="A134" s="99">
        <v>9</v>
      </c>
      <c r="B134" s="100" t="s">
        <v>120</v>
      </c>
      <c r="C134" s="117">
        <v>15389</v>
      </c>
      <c r="D134" s="117">
        <v>16266</v>
      </c>
      <c r="E134" s="117">
        <f t="shared" si="18"/>
        <v>877</v>
      </c>
      <c r="F134" s="98">
        <f t="shared" si="19"/>
        <v>5.6988758203911888E-2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219227</v>
      </c>
      <c r="D137" s="118">
        <f>SUM(D126:D136)</f>
        <v>232639</v>
      </c>
      <c r="E137" s="118">
        <f t="shared" si="18"/>
        <v>13412</v>
      </c>
      <c r="F137" s="104">
        <f t="shared" si="19"/>
        <v>6.1178595702171719E-2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17179648</v>
      </c>
      <c r="D142" s="97">
        <v>20066673</v>
      </c>
      <c r="E142" s="97">
        <f t="shared" ref="E142:E153" si="20">D142-C142</f>
        <v>2887025</v>
      </c>
      <c r="F142" s="98">
        <f t="shared" ref="F142:F153" si="21">IF(C142=0,0,E142/C142)</f>
        <v>0.16804913581465697</v>
      </c>
    </row>
    <row r="143" spans="1:6" ht="18" customHeight="1" x14ac:dyDescent="0.25">
      <c r="A143" s="99">
        <v>2</v>
      </c>
      <c r="B143" s="100" t="s">
        <v>113</v>
      </c>
      <c r="C143" s="97">
        <v>7485613</v>
      </c>
      <c r="D143" s="97">
        <v>9183965</v>
      </c>
      <c r="E143" s="97">
        <f t="shared" si="20"/>
        <v>1698352</v>
      </c>
      <c r="F143" s="98">
        <f t="shared" si="21"/>
        <v>0.22688215380624138</v>
      </c>
    </row>
    <row r="144" spans="1:6" ht="18" customHeight="1" x14ac:dyDescent="0.25">
      <c r="A144" s="99">
        <v>3</v>
      </c>
      <c r="B144" s="100" t="s">
        <v>114</v>
      </c>
      <c r="C144" s="97">
        <v>30562757</v>
      </c>
      <c r="D144" s="97">
        <v>73641893</v>
      </c>
      <c r="E144" s="97">
        <f t="shared" si="20"/>
        <v>43079136</v>
      </c>
      <c r="F144" s="98">
        <f t="shared" si="21"/>
        <v>1.4095304294700901</v>
      </c>
    </row>
    <row r="145" spans="1:6" ht="18" customHeight="1" x14ac:dyDescent="0.25">
      <c r="A145" s="99">
        <v>4</v>
      </c>
      <c r="B145" s="100" t="s">
        <v>115</v>
      </c>
      <c r="C145" s="97">
        <v>39474865</v>
      </c>
      <c r="D145" s="97">
        <v>10934266</v>
      </c>
      <c r="E145" s="97">
        <f t="shared" si="20"/>
        <v>-28540599</v>
      </c>
      <c r="F145" s="98">
        <f t="shared" si="21"/>
        <v>-0.72300688045418271</v>
      </c>
    </row>
    <row r="146" spans="1:6" ht="18" customHeight="1" x14ac:dyDescent="0.25">
      <c r="A146" s="99">
        <v>5</v>
      </c>
      <c r="B146" s="100" t="s">
        <v>116</v>
      </c>
      <c r="C146" s="97">
        <v>365808</v>
      </c>
      <c r="D146" s="97">
        <v>395840</v>
      </c>
      <c r="E146" s="97">
        <f t="shared" si="20"/>
        <v>30032</v>
      </c>
      <c r="F146" s="98">
        <f t="shared" si="21"/>
        <v>8.2097712461181818E-2</v>
      </c>
    </row>
    <row r="147" spans="1:6" ht="18" customHeight="1" x14ac:dyDescent="0.25">
      <c r="A147" s="99">
        <v>6</v>
      </c>
      <c r="B147" s="100" t="s">
        <v>117</v>
      </c>
      <c r="C147" s="97">
        <v>19508899</v>
      </c>
      <c r="D147" s="97">
        <v>22080604</v>
      </c>
      <c r="E147" s="97">
        <f t="shared" si="20"/>
        <v>2571705</v>
      </c>
      <c r="F147" s="98">
        <f t="shared" si="21"/>
        <v>0.13182214947137713</v>
      </c>
    </row>
    <row r="148" spans="1:6" ht="18" customHeight="1" x14ac:dyDescent="0.25">
      <c r="A148" s="99">
        <v>7</v>
      </c>
      <c r="B148" s="100" t="s">
        <v>118</v>
      </c>
      <c r="C148" s="97">
        <v>20378042</v>
      </c>
      <c r="D148" s="97">
        <v>22350538</v>
      </c>
      <c r="E148" s="97">
        <f t="shared" si="20"/>
        <v>1972496</v>
      </c>
      <c r="F148" s="98">
        <f t="shared" si="21"/>
        <v>9.6795168053927849E-2</v>
      </c>
    </row>
    <row r="149" spans="1:6" ht="18" customHeight="1" x14ac:dyDescent="0.25">
      <c r="A149" s="99">
        <v>8</v>
      </c>
      <c r="B149" s="100" t="s">
        <v>119</v>
      </c>
      <c r="C149" s="97">
        <v>1237730</v>
      </c>
      <c r="D149" s="97">
        <v>1129461</v>
      </c>
      <c r="E149" s="97">
        <f t="shared" si="20"/>
        <v>-108269</v>
      </c>
      <c r="F149" s="98">
        <f t="shared" si="21"/>
        <v>-8.7473843245295821E-2</v>
      </c>
    </row>
    <row r="150" spans="1:6" ht="18" customHeight="1" x14ac:dyDescent="0.25">
      <c r="A150" s="99">
        <v>9</v>
      </c>
      <c r="B150" s="100" t="s">
        <v>120</v>
      </c>
      <c r="C150" s="97">
        <v>20087925</v>
      </c>
      <c r="D150" s="97">
        <v>23130629</v>
      </c>
      <c r="E150" s="97">
        <f t="shared" si="20"/>
        <v>3042704</v>
      </c>
      <c r="F150" s="98">
        <f t="shared" si="21"/>
        <v>0.15146930307635059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156281287</v>
      </c>
      <c r="D153" s="103">
        <f>SUM(D142:D152)</f>
        <v>182913869</v>
      </c>
      <c r="E153" s="103">
        <f t="shared" si="20"/>
        <v>26632582</v>
      </c>
      <c r="F153" s="104">
        <f t="shared" si="21"/>
        <v>0.17041440156555659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3605343</v>
      </c>
      <c r="D155" s="97">
        <v>3416526</v>
      </c>
      <c r="E155" s="97">
        <f t="shared" ref="E155:E166" si="22">D155-C155</f>
        <v>-188817</v>
      </c>
      <c r="F155" s="98">
        <f t="shared" ref="F155:F166" si="23">IF(C155=0,0,E155/C155)</f>
        <v>-5.2371438723028574E-2</v>
      </c>
    </row>
    <row r="156" spans="1:6" ht="18" customHeight="1" x14ac:dyDescent="0.25">
      <c r="A156" s="99">
        <v>2</v>
      </c>
      <c r="B156" s="100" t="s">
        <v>113</v>
      </c>
      <c r="C156" s="97">
        <v>1701626</v>
      </c>
      <c r="D156" s="97">
        <v>2105667</v>
      </c>
      <c r="E156" s="97">
        <f t="shared" si="22"/>
        <v>404041</v>
      </c>
      <c r="F156" s="98">
        <f t="shared" si="23"/>
        <v>0.23744406820300112</v>
      </c>
    </row>
    <row r="157" spans="1:6" ht="18" customHeight="1" x14ac:dyDescent="0.25">
      <c r="A157" s="99">
        <v>3</v>
      </c>
      <c r="B157" s="100" t="s">
        <v>114</v>
      </c>
      <c r="C157" s="97">
        <v>4392749</v>
      </c>
      <c r="D157" s="97">
        <v>9962587</v>
      </c>
      <c r="E157" s="97">
        <f t="shared" si="22"/>
        <v>5569838</v>
      </c>
      <c r="F157" s="98">
        <f t="shared" si="23"/>
        <v>1.2679618161656858</v>
      </c>
    </row>
    <row r="158" spans="1:6" ht="18" customHeight="1" x14ac:dyDescent="0.25">
      <c r="A158" s="99">
        <v>4</v>
      </c>
      <c r="B158" s="100" t="s">
        <v>115</v>
      </c>
      <c r="C158" s="97">
        <v>6462234</v>
      </c>
      <c r="D158" s="97">
        <v>1710327</v>
      </c>
      <c r="E158" s="97">
        <f t="shared" si="22"/>
        <v>-4751907</v>
      </c>
      <c r="F158" s="98">
        <f t="shared" si="23"/>
        <v>-0.73533502500837944</v>
      </c>
    </row>
    <row r="159" spans="1:6" ht="18" customHeight="1" x14ac:dyDescent="0.25">
      <c r="A159" s="99">
        <v>5</v>
      </c>
      <c r="B159" s="100" t="s">
        <v>116</v>
      </c>
      <c r="C159" s="97">
        <v>74870</v>
      </c>
      <c r="D159" s="97">
        <v>70290</v>
      </c>
      <c r="E159" s="97">
        <f t="shared" si="22"/>
        <v>-4580</v>
      </c>
      <c r="F159" s="98">
        <f t="shared" si="23"/>
        <v>-6.1172699345532253E-2</v>
      </c>
    </row>
    <row r="160" spans="1:6" ht="18" customHeight="1" x14ac:dyDescent="0.25">
      <c r="A160" s="99">
        <v>6</v>
      </c>
      <c r="B160" s="100" t="s">
        <v>117</v>
      </c>
      <c r="C160" s="97">
        <v>8475107</v>
      </c>
      <c r="D160" s="97">
        <v>8798629</v>
      </c>
      <c r="E160" s="97">
        <f t="shared" si="22"/>
        <v>323522</v>
      </c>
      <c r="F160" s="98">
        <f t="shared" si="23"/>
        <v>3.8173205364840819E-2</v>
      </c>
    </row>
    <row r="161" spans="1:6" ht="18" customHeight="1" x14ac:dyDescent="0.25">
      <c r="A161" s="99">
        <v>7</v>
      </c>
      <c r="B161" s="100" t="s">
        <v>118</v>
      </c>
      <c r="C161" s="97">
        <v>7820641</v>
      </c>
      <c r="D161" s="97">
        <v>8063418</v>
      </c>
      <c r="E161" s="97">
        <f t="shared" si="22"/>
        <v>242777</v>
      </c>
      <c r="F161" s="98">
        <f t="shared" si="23"/>
        <v>3.1043107591820159E-2</v>
      </c>
    </row>
    <row r="162" spans="1:6" ht="18" customHeight="1" x14ac:dyDescent="0.25">
      <c r="A162" s="99">
        <v>8</v>
      </c>
      <c r="B162" s="100" t="s">
        <v>119</v>
      </c>
      <c r="C162" s="97">
        <v>836101</v>
      </c>
      <c r="D162" s="97">
        <v>715183</v>
      </c>
      <c r="E162" s="97">
        <f t="shared" si="22"/>
        <v>-120918</v>
      </c>
      <c r="F162" s="98">
        <f t="shared" si="23"/>
        <v>-0.14462128379226913</v>
      </c>
    </row>
    <row r="163" spans="1:6" ht="18" customHeight="1" x14ac:dyDescent="0.25">
      <c r="A163" s="99">
        <v>9</v>
      </c>
      <c r="B163" s="100" t="s">
        <v>120</v>
      </c>
      <c r="C163" s="97">
        <v>19918935</v>
      </c>
      <c r="D163" s="97">
        <v>22919921</v>
      </c>
      <c r="E163" s="97">
        <f t="shared" si="22"/>
        <v>3000986</v>
      </c>
      <c r="F163" s="98">
        <f t="shared" si="23"/>
        <v>0.15065996249297464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53287606</v>
      </c>
      <c r="D166" s="103">
        <f>SUM(D155:D165)</f>
        <v>57762548</v>
      </c>
      <c r="E166" s="103">
        <f t="shared" si="22"/>
        <v>4474942</v>
      </c>
      <c r="F166" s="104">
        <f t="shared" si="23"/>
        <v>8.3977163470244851E-2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5759</v>
      </c>
      <c r="D168" s="117">
        <v>5804</v>
      </c>
      <c r="E168" s="117">
        <f t="shared" ref="E168:E179" si="24">D168-C168</f>
        <v>45</v>
      </c>
      <c r="F168" s="98">
        <f t="shared" ref="F168:F179" si="25">IF(C168=0,0,E168/C168)</f>
        <v>7.8138565723215835E-3</v>
      </c>
    </row>
    <row r="169" spans="1:6" ht="18" customHeight="1" x14ac:dyDescent="0.25">
      <c r="A169" s="99">
        <v>2</v>
      </c>
      <c r="B169" s="100" t="s">
        <v>113</v>
      </c>
      <c r="C169" s="117">
        <v>2048</v>
      </c>
      <c r="D169" s="117">
        <v>2414</v>
      </c>
      <c r="E169" s="117">
        <f t="shared" si="24"/>
        <v>366</v>
      </c>
      <c r="F169" s="98">
        <f t="shared" si="25"/>
        <v>0.1787109375</v>
      </c>
    </row>
    <row r="170" spans="1:6" ht="18" customHeight="1" x14ac:dyDescent="0.25">
      <c r="A170" s="99">
        <v>3</v>
      </c>
      <c r="B170" s="100" t="s">
        <v>114</v>
      </c>
      <c r="C170" s="117">
        <v>12579</v>
      </c>
      <c r="D170" s="117">
        <v>30282</v>
      </c>
      <c r="E170" s="117">
        <f t="shared" si="24"/>
        <v>17703</v>
      </c>
      <c r="F170" s="98">
        <f t="shared" si="25"/>
        <v>1.4073455759599331</v>
      </c>
    </row>
    <row r="171" spans="1:6" ht="18" customHeight="1" x14ac:dyDescent="0.25">
      <c r="A171" s="99">
        <v>4</v>
      </c>
      <c r="B171" s="100" t="s">
        <v>115</v>
      </c>
      <c r="C171" s="117">
        <v>21177</v>
      </c>
      <c r="D171" s="117">
        <v>5236</v>
      </c>
      <c r="E171" s="117">
        <f t="shared" si="24"/>
        <v>-15941</v>
      </c>
      <c r="F171" s="98">
        <f t="shared" si="25"/>
        <v>-0.75275062567880247</v>
      </c>
    </row>
    <row r="172" spans="1:6" ht="18" customHeight="1" x14ac:dyDescent="0.25">
      <c r="A172" s="99">
        <v>5</v>
      </c>
      <c r="B172" s="100" t="s">
        <v>116</v>
      </c>
      <c r="C172" s="117">
        <v>176</v>
      </c>
      <c r="D172" s="117">
        <v>175</v>
      </c>
      <c r="E172" s="117">
        <f t="shared" si="24"/>
        <v>-1</v>
      </c>
      <c r="F172" s="98">
        <f t="shared" si="25"/>
        <v>-5.681818181818182E-3</v>
      </c>
    </row>
    <row r="173" spans="1:6" ht="18" customHeight="1" x14ac:dyDescent="0.25">
      <c r="A173" s="99">
        <v>6</v>
      </c>
      <c r="B173" s="100" t="s">
        <v>117</v>
      </c>
      <c r="C173" s="117">
        <v>7289</v>
      </c>
      <c r="D173" s="117">
        <v>7194</v>
      </c>
      <c r="E173" s="117">
        <f t="shared" si="24"/>
        <v>-95</v>
      </c>
      <c r="F173" s="98">
        <f t="shared" si="25"/>
        <v>-1.3033337906434354E-2</v>
      </c>
    </row>
    <row r="174" spans="1:6" ht="18" customHeight="1" x14ac:dyDescent="0.25">
      <c r="A174" s="99">
        <v>7</v>
      </c>
      <c r="B174" s="100" t="s">
        <v>118</v>
      </c>
      <c r="C174" s="117">
        <v>7520</v>
      </c>
      <c r="D174" s="117">
        <v>7398</v>
      </c>
      <c r="E174" s="117">
        <f t="shared" si="24"/>
        <v>-122</v>
      </c>
      <c r="F174" s="98">
        <f t="shared" si="25"/>
        <v>-1.6223404255319148E-2</v>
      </c>
    </row>
    <row r="175" spans="1:6" ht="18" customHeight="1" x14ac:dyDescent="0.25">
      <c r="A175" s="99">
        <v>8</v>
      </c>
      <c r="B175" s="100" t="s">
        <v>119</v>
      </c>
      <c r="C175" s="117">
        <v>510</v>
      </c>
      <c r="D175" s="117">
        <v>453</v>
      </c>
      <c r="E175" s="117">
        <f t="shared" si="24"/>
        <v>-57</v>
      </c>
      <c r="F175" s="98">
        <f t="shared" si="25"/>
        <v>-0.11176470588235295</v>
      </c>
    </row>
    <row r="176" spans="1:6" ht="18" customHeight="1" x14ac:dyDescent="0.25">
      <c r="A176" s="99">
        <v>9</v>
      </c>
      <c r="B176" s="100" t="s">
        <v>120</v>
      </c>
      <c r="C176" s="117">
        <v>8612</v>
      </c>
      <c r="D176" s="117">
        <v>8835</v>
      </c>
      <c r="E176" s="117">
        <f t="shared" si="24"/>
        <v>223</v>
      </c>
      <c r="F176" s="98">
        <f t="shared" si="25"/>
        <v>2.5894101254064095E-2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65670</v>
      </c>
      <c r="D179" s="118">
        <f>SUM(D168:D178)</f>
        <v>67791</v>
      </c>
      <c r="E179" s="118">
        <f t="shared" si="24"/>
        <v>2121</v>
      </c>
      <c r="F179" s="104">
        <f t="shared" si="25"/>
        <v>3.2297852900867979E-2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FILING&amp;RBRIDGEPORT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50710790</v>
      </c>
      <c r="D15" s="146">
        <v>51727848</v>
      </c>
      <c r="E15" s="146">
        <f>+D15-C15</f>
        <v>1017058</v>
      </c>
      <c r="F15" s="150">
        <f>IF(C15=0,0,E15/C15)</f>
        <v>2.005604724359451E-2</v>
      </c>
    </row>
    <row r="16" spans="1:7" ht="15" customHeight="1" x14ac:dyDescent="0.2">
      <c r="A16" s="141">
        <v>2</v>
      </c>
      <c r="B16" s="149" t="s">
        <v>158</v>
      </c>
      <c r="C16" s="146">
        <v>13924825</v>
      </c>
      <c r="D16" s="146">
        <v>10838798</v>
      </c>
      <c r="E16" s="146">
        <f>+D16-C16</f>
        <v>-3086027</v>
      </c>
      <c r="F16" s="150">
        <f>IF(C16=0,0,E16/C16)</f>
        <v>-0.22162052305863808</v>
      </c>
    </row>
    <row r="17" spans="1:7" ht="15" customHeight="1" x14ac:dyDescent="0.2">
      <c r="A17" s="141">
        <v>3</v>
      </c>
      <c r="B17" s="149" t="s">
        <v>159</v>
      </c>
      <c r="C17" s="146">
        <v>75549385</v>
      </c>
      <c r="D17" s="146">
        <v>81647354</v>
      </c>
      <c r="E17" s="146">
        <f>+D17-C17</f>
        <v>6097969</v>
      </c>
      <c r="F17" s="150">
        <f>IF(C17=0,0,E17/C17)</f>
        <v>8.0715005158546294E-2</v>
      </c>
    </row>
    <row r="18" spans="1:7" ht="15.75" customHeight="1" x14ac:dyDescent="0.25">
      <c r="A18" s="141"/>
      <c r="B18" s="151" t="s">
        <v>160</v>
      </c>
      <c r="C18" s="147">
        <f>SUM(C15:C17)</f>
        <v>140185000</v>
      </c>
      <c r="D18" s="147">
        <f>SUM(D15:D17)</f>
        <v>144214000</v>
      </c>
      <c r="E18" s="147">
        <f>+D18-C18</f>
        <v>4029000</v>
      </c>
      <c r="F18" s="148">
        <f>IF(C18=0,0,E18/C18)</f>
        <v>2.8740592788101437E-2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11626907</v>
      </c>
      <c r="D21" s="146">
        <v>13134644</v>
      </c>
      <c r="E21" s="146">
        <f>+D21-C21</f>
        <v>1507737</v>
      </c>
      <c r="F21" s="150">
        <f>IF(C21=0,0,E21/C21)</f>
        <v>0.12967653392256429</v>
      </c>
    </row>
    <row r="22" spans="1:7" ht="15" customHeight="1" x14ac:dyDescent="0.2">
      <c r="A22" s="141">
        <v>2</v>
      </c>
      <c r="B22" s="149" t="s">
        <v>163</v>
      </c>
      <c r="C22" s="146">
        <v>955279</v>
      </c>
      <c r="D22" s="146">
        <v>2452958</v>
      </c>
      <c r="E22" s="146">
        <f>+D22-C22</f>
        <v>1497679</v>
      </c>
      <c r="F22" s="150">
        <f>IF(C22=0,0,E22/C22)</f>
        <v>1.5677922366135966</v>
      </c>
    </row>
    <row r="23" spans="1:7" ht="15" customHeight="1" x14ac:dyDescent="0.2">
      <c r="A23" s="141">
        <v>3</v>
      </c>
      <c r="B23" s="149" t="s">
        <v>164</v>
      </c>
      <c r="C23" s="146">
        <v>34400814</v>
      </c>
      <c r="D23" s="146">
        <v>31766398</v>
      </c>
      <c r="E23" s="146">
        <f>+D23-C23</f>
        <v>-2634416</v>
      </c>
      <c r="F23" s="150">
        <f>IF(C23=0,0,E23/C23)</f>
        <v>-7.6580048367460143E-2</v>
      </c>
    </row>
    <row r="24" spans="1:7" ht="15.75" customHeight="1" x14ac:dyDescent="0.25">
      <c r="A24" s="141"/>
      <c r="B24" s="151" t="s">
        <v>165</v>
      </c>
      <c r="C24" s="147">
        <f>SUM(C21:C23)</f>
        <v>46983000</v>
      </c>
      <c r="D24" s="147">
        <f>SUM(D21:D23)</f>
        <v>47354000</v>
      </c>
      <c r="E24" s="147">
        <f>+D24-C24</f>
        <v>371000</v>
      </c>
      <c r="F24" s="148">
        <f>IF(C24=0,0,E24/C24)</f>
        <v>7.8964731924313046E-3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2016396</v>
      </c>
      <c r="D27" s="146">
        <v>2200150</v>
      </c>
      <c r="E27" s="146">
        <f>+D27-C27</f>
        <v>183754</v>
      </c>
      <c r="F27" s="150">
        <f>IF(C27=0,0,E27/C27)</f>
        <v>9.1129916940918348E-2</v>
      </c>
    </row>
    <row r="28" spans="1:7" ht="15" customHeight="1" x14ac:dyDescent="0.2">
      <c r="A28" s="141">
        <v>2</v>
      </c>
      <c r="B28" s="149" t="s">
        <v>168</v>
      </c>
      <c r="C28" s="146">
        <v>18061000</v>
      </c>
      <c r="D28" s="146">
        <v>23346000</v>
      </c>
      <c r="E28" s="146">
        <f>+D28-C28</f>
        <v>5285000</v>
      </c>
      <c r="F28" s="150">
        <f>IF(C28=0,0,E28/C28)</f>
        <v>0.29261945628702729</v>
      </c>
    </row>
    <row r="29" spans="1:7" ht="15" customHeight="1" x14ac:dyDescent="0.2">
      <c r="A29" s="141">
        <v>3</v>
      </c>
      <c r="B29" s="149" t="s">
        <v>169</v>
      </c>
      <c r="C29" s="146">
        <v>29282200</v>
      </c>
      <c r="D29" s="146">
        <v>37845088</v>
      </c>
      <c r="E29" s="146">
        <f>+D29-C29</f>
        <v>8562888</v>
      </c>
      <c r="F29" s="150">
        <f>IF(C29=0,0,E29/C29)</f>
        <v>0.29242638872762294</v>
      </c>
    </row>
    <row r="30" spans="1:7" ht="15.75" customHeight="1" x14ac:dyDescent="0.25">
      <c r="A30" s="141"/>
      <c r="B30" s="151" t="s">
        <v>170</v>
      </c>
      <c r="C30" s="147">
        <f>SUM(C27:C29)</f>
        <v>49359596</v>
      </c>
      <c r="D30" s="147">
        <f>SUM(D27:D29)</f>
        <v>63391238</v>
      </c>
      <c r="E30" s="147">
        <f>+D30-C30</f>
        <v>14031642</v>
      </c>
      <c r="F30" s="148">
        <f>IF(C30=0,0,E30/C30)</f>
        <v>0.28427384211167367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36788000</v>
      </c>
      <c r="D33" s="146">
        <v>37138000</v>
      </c>
      <c r="E33" s="146">
        <f>+D33-C33</f>
        <v>350000</v>
      </c>
      <c r="F33" s="150">
        <f>IF(C33=0,0,E33/C33)</f>
        <v>9.513971947374144E-3</v>
      </c>
    </row>
    <row r="34" spans="1:7" ht="15" customHeight="1" x14ac:dyDescent="0.2">
      <c r="A34" s="141">
        <v>2</v>
      </c>
      <c r="B34" s="149" t="s">
        <v>174</v>
      </c>
      <c r="C34" s="146">
        <v>10100000</v>
      </c>
      <c r="D34" s="146">
        <v>10127000</v>
      </c>
      <c r="E34" s="146">
        <f>+D34-C34</f>
        <v>27000</v>
      </c>
      <c r="F34" s="150">
        <f>IF(C34=0,0,E34/C34)</f>
        <v>2.6732673267326735E-3</v>
      </c>
    </row>
    <row r="35" spans="1:7" ht="15.75" customHeight="1" x14ac:dyDescent="0.25">
      <c r="A35" s="141"/>
      <c r="B35" s="151" t="s">
        <v>175</v>
      </c>
      <c r="C35" s="147">
        <f>SUM(C33:C34)</f>
        <v>46888000</v>
      </c>
      <c r="D35" s="147">
        <f>SUM(D33:D34)</f>
        <v>47265000</v>
      </c>
      <c r="E35" s="147">
        <f>+D35-C35</f>
        <v>377000</v>
      </c>
      <c r="F35" s="148">
        <f>IF(C35=0,0,E35/C35)</f>
        <v>8.0404367855314799E-3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9302000</v>
      </c>
      <c r="D38" s="146">
        <v>10497000</v>
      </c>
      <c r="E38" s="146">
        <f>+D38-C38</f>
        <v>1195000</v>
      </c>
      <c r="F38" s="150">
        <f>IF(C38=0,0,E38/C38)</f>
        <v>0.12846699634487208</v>
      </c>
    </row>
    <row r="39" spans="1:7" ht="15" customHeight="1" x14ac:dyDescent="0.2">
      <c r="A39" s="141">
        <v>2</v>
      </c>
      <c r="B39" s="149" t="s">
        <v>179</v>
      </c>
      <c r="C39" s="146">
        <v>8577000</v>
      </c>
      <c r="D39" s="146">
        <v>9678000</v>
      </c>
      <c r="E39" s="146">
        <f>+D39-C39</f>
        <v>1101000</v>
      </c>
      <c r="F39" s="150">
        <f>IF(C39=0,0,E39/C39)</f>
        <v>0.12836656173487232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17879000</v>
      </c>
      <c r="D41" s="147">
        <f>SUM(D38:D40)</f>
        <v>20175000</v>
      </c>
      <c r="E41" s="147">
        <f>+D41-C41</f>
        <v>2296000</v>
      </c>
      <c r="F41" s="148">
        <f>IF(C41=0,0,E41/C41)</f>
        <v>0.12841881536998714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12302000</v>
      </c>
      <c r="D44" s="146">
        <v>16623000</v>
      </c>
      <c r="E44" s="146">
        <f>+D44-C44</f>
        <v>4321000</v>
      </c>
      <c r="F44" s="150">
        <f>IF(C44=0,0,E44/C44)</f>
        <v>0.35124370021134776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3110000</v>
      </c>
      <c r="D47" s="146">
        <v>2724000</v>
      </c>
      <c r="E47" s="146">
        <f>+D47-C47</f>
        <v>-386000</v>
      </c>
      <c r="F47" s="150">
        <f>IF(C47=0,0,E47/C47)</f>
        <v>-0.12411575562700965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5829000</v>
      </c>
      <c r="D50" s="146">
        <v>2179000</v>
      </c>
      <c r="E50" s="146">
        <f>+D50-C50</f>
        <v>-3650000</v>
      </c>
      <c r="F50" s="150">
        <f>IF(C50=0,0,E50/C50)</f>
        <v>-0.62617944758963806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311206</v>
      </c>
      <c r="D53" s="146">
        <v>281481</v>
      </c>
      <c r="E53" s="146">
        <f t="shared" ref="E53:E59" si="0">+D53-C53</f>
        <v>-29725</v>
      </c>
      <c r="F53" s="150">
        <f t="shared" ref="F53:F59" si="1">IF(C53=0,0,E53/C53)</f>
        <v>-9.5515510626401803E-2</v>
      </c>
    </row>
    <row r="54" spans="1:7" ht="15" customHeight="1" x14ac:dyDescent="0.2">
      <c r="A54" s="141">
        <v>2</v>
      </c>
      <c r="B54" s="149" t="s">
        <v>193</v>
      </c>
      <c r="C54" s="146">
        <v>1487845</v>
      </c>
      <c r="D54" s="146">
        <v>1553531</v>
      </c>
      <c r="E54" s="146">
        <f t="shared" si="0"/>
        <v>65686</v>
      </c>
      <c r="F54" s="150">
        <f t="shared" si="1"/>
        <v>4.4148415997634159E-2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3654234</v>
      </c>
      <c r="D56" s="146">
        <v>3339762</v>
      </c>
      <c r="E56" s="146">
        <f t="shared" si="0"/>
        <v>-314472</v>
      </c>
      <c r="F56" s="150">
        <f t="shared" si="1"/>
        <v>-8.605688634061201E-2</v>
      </c>
    </row>
    <row r="57" spans="1:7" ht="15" customHeight="1" x14ac:dyDescent="0.2">
      <c r="A57" s="141">
        <v>5</v>
      </c>
      <c r="B57" s="149" t="s">
        <v>196</v>
      </c>
      <c r="C57" s="146">
        <v>467854</v>
      </c>
      <c r="D57" s="146">
        <v>243162</v>
      </c>
      <c r="E57" s="146">
        <f t="shared" si="0"/>
        <v>-224692</v>
      </c>
      <c r="F57" s="150">
        <f t="shared" si="1"/>
        <v>-0.48026093610399828</v>
      </c>
    </row>
    <row r="58" spans="1:7" ht="15" customHeight="1" x14ac:dyDescent="0.2">
      <c r="A58" s="141">
        <v>6</v>
      </c>
      <c r="B58" s="149" t="s">
        <v>197</v>
      </c>
      <c r="C58" s="146">
        <v>206584</v>
      </c>
      <c r="D58" s="146">
        <v>42949</v>
      </c>
      <c r="E58" s="146">
        <f t="shared" si="0"/>
        <v>-163635</v>
      </c>
      <c r="F58" s="150">
        <f t="shared" si="1"/>
        <v>-0.79209909770359754</v>
      </c>
    </row>
    <row r="59" spans="1:7" ht="15.75" customHeight="1" x14ac:dyDescent="0.25">
      <c r="A59" s="141"/>
      <c r="B59" s="151" t="s">
        <v>198</v>
      </c>
      <c r="C59" s="147">
        <f>SUM(C53:C58)</f>
        <v>6127723</v>
      </c>
      <c r="D59" s="147">
        <f>SUM(D53:D58)</f>
        <v>5460885</v>
      </c>
      <c r="E59" s="147">
        <f t="shared" si="0"/>
        <v>-666838</v>
      </c>
      <c r="F59" s="148">
        <f t="shared" si="1"/>
        <v>-0.10882313054947164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355029</v>
      </c>
      <c r="D62" s="146">
        <v>317913</v>
      </c>
      <c r="E62" s="146">
        <f t="shared" ref="E62:E90" si="2">+D62-C62</f>
        <v>-37116</v>
      </c>
      <c r="F62" s="150">
        <f t="shared" ref="F62:F90" si="3">IF(C62=0,0,E62/C62)</f>
        <v>-0.10454357249689462</v>
      </c>
    </row>
    <row r="63" spans="1:7" ht="15" customHeight="1" x14ac:dyDescent="0.2">
      <c r="A63" s="141">
        <v>2</v>
      </c>
      <c r="B63" s="149" t="s">
        <v>202</v>
      </c>
      <c r="C63" s="146">
        <v>740953</v>
      </c>
      <c r="D63" s="146">
        <v>825143</v>
      </c>
      <c r="E63" s="146">
        <f t="shared" si="2"/>
        <v>84190</v>
      </c>
      <c r="F63" s="150">
        <f t="shared" si="3"/>
        <v>0.11362394105968934</v>
      </c>
    </row>
    <row r="64" spans="1:7" ht="15" customHeight="1" x14ac:dyDescent="0.2">
      <c r="A64" s="141">
        <v>3</v>
      </c>
      <c r="B64" s="149" t="s">
        <v>203</v>
      </c>
      <c r="C64" s="146">
        <v>2788028</v>
      </c>
      <c r="D64" s="146">
        <v>774433</v>
      </c>
      <c r="E64" s="146">
        <f t="shared" si="2"/>
        <v>-2013595</v>
      </c>
      <c r="F64" s="150">
        <f t="shared" si="3"/>
        <v>-0.72222911678074964</v>
      </c>
    </row>
    <row r="65" spans="1:6" ht="15" customHeight="1" x14ac:dyDescent="0.2">
      <c r="A65" s="141">
        <v>4</v>
      </c>
      <c r="B65" s="149" t="s">
        <v>204</v>
      </c>
      <c r="C65" s="146">
        <v>600819</v>
      </c>
      <c r="D65" s="146">
        <v>614830</v>
      </c>
      <c r="E65" s="146">
        <f t="shared" si="2"/>
        <v>14011</v>
      </c>
      <c r="F65" s="150">
        <f t="shared" si="3"/>
        <v>2.3319835091766404E-2</v>
      </c>
    </row>
    <row r="66" spans="1:6" ht="15" customHeight="1" x14ac:dyDescent="0.2">
      <c r="A66" s="141">
        <v>5</v>
      </c>
      <c r="B66" s="149" t="s">
        <v>205</v>
      </c>
      <c r="C66" s="146">
        <v>246363</v>
      </c>
      <c r="D66" s="146">
        <v>131658</v>
      </c>
      <c r="E66" s="146">
        <f t="shared" si="2"/>
        <v>-114705</v>
      </c>
      <c r="F66" s="150">
        <f t="shared" si="3"/>
        <v>-0.46559345356242615</v>
      </c>
    </row>
    <row r="67" spans="1:6" ht="15" customHeight="1" x14ac:dyDescent="0.2">
      <c r="A67" s="141">
        <v>6</v>
      </c>
      <c r="B67" s="149" t="s">
        <v>206</v>
      </c>
      <c r="C67" s="146">
        <v>1778941</v>
      </c>
      <c r="D67" s="146">
        <v>2181168</v>
      </c>
      <c r="E67" s="146">
        <f t="shared" si="2"/>
        <v>402227</v>
      </c>
      <c r="F67" s="150">
        <f t="shared" si="3"/>
        <v>0.22610474433946939</v>
      </c>
    </row>
    <row r="68" spans="1:6" ht="15" customHeight="1" x14ac:dyDescent="0.2">
      <c r="A68" s="141">
        <v>7</v>
      </c>
      <c r="B68" s="149" t="s">
        <v>207</v>
      </c>
      <c r="C68" s="146">
        <v>9161504</v>
      </c>
      <c r="D68" s="146">
        <v>8149963</v>
      </c>
      <c r="E68" s="146">
        <f t="shared" si="2"/>
        <v>-1011541</v>
      </c>
      <c r="F68" s="150">
        <f t="shared" si="3"/>
        <v>-0.11041211137385303</v>
      </c>
    </row>
    <row r="69" spans="1:6" ht="15" customHeight="1" x14ac:dyDescent="0.2">
      <c r="A69" s="141">
        <v>8</v>
      </c>
      <c r="B69" s="149" t="s">
        <v>208</v>
      </c>
      <c r="C69" s="146">
        <v>754417</v>
      </c>
      <c r="D69" s="146">
        <v>711655</v>
      </c>
      <c r="E69" s="146">
        <f t="shared" si="2"/>
        <v>-42762</v>
      </c>
      <c r="F69" s="150">
        <f t="shared" si="3"/>
        <v>-5.6682179749395892E-2</v>
      </c>
    </row>
    <row r="70" spans="1:6" ht="15" customHeight="1" x14ac:dyDescent="0.2">
      <c r="A70" s="141">
        <v>9</v>
      </c>
      <c r="B70" s="149" t="s">
        <v>209</v>
      </c>
      <c r="C70" s="146">
        <v>378817</v>
      </c>
      <c r="D70" s="146">
        <v>634553</v>
      </c>
      <c r="E70" s="146">
        <f t="shared" si="2"/>
        <v>255736</v>
      </c>
      <c r="F70" s="150">
        <f t="shared" si="3"/>
        <v>0.67509113899323425</v>
      </c>
    </row>
    <row r="71" spans="1:6" ht="15" customHeight="1" x14ac:dyDescent="0.2">
      <c r="A71" s="141">
        <v>10</v>
      </c>
      <c r="B71" s="149" t="s">
        <v>210</v>
      </c>
      <c r="C71" s="146">
        <v>0</v>
      </c>
      <c r="D71" s="146">
        <v>4611</v>
      </c>
      <c r="E71" s="146">
        <f t="shared" si="2"/>
        <v>4611</v>
      </c>
      <c r="F71" s="150">
        <f t="shared" si="3"/>
        <v>0</v>
      </c>
    </row>
    <row r="72" spans="1:6" ht="15" customHeight="1" x14ac:dyDescent="0.2">
      <c r="A72" s="141">
        <v>11</v>
      </c>
      <c r="B72" s="149" t="s">
        <v>211</v>
      </c>
      <c r="C72" s="146">
        <v>172967</v>
      </c>
      <c r="D72" s="146">
        <v>159866</v>
      </c>
      <c r="E72" s="146">
        <f t="shared" si="2"/>
        <v>-13101</v>
      </c>
      <c r="F72" s="150">
        <f t="shared" si="3"/>
        <v>-7.5742771742586743E-2</v>
      </c>
    </row>
    <row r="73" spans="1:6" ht="15" customHeight="1" x14ac:dyDescent="0.2">
      <c r="A73" s="141">
        <v>12</v>
      </c>
      <c r="B73" s="149" t="s">
        <v>212</v>
      </c>
      <c r="C73" s="146">
        <v>5117857</v>
      </c>
      <c r="D73" s="146">
        <v>5586421</v>
      </c>
      <c r="E73" s="146">
        <f t="shared" si="2"/>
        <v>468564</v>
      </c>
      <c r="F73" s="150">
        <f t="shared" si="3"/>
        <v>9.1554726910111003E-2</v>
      </c>
    </row>
    <row r="74" spans="1:6" ht="15" customHeight="1" x14ac:dyDescent="0.2">
      <c r="A74" s="141">
        <v>13</v>
      </c>
      <c r="B74" s="149" t="s">
        <v>213</v>
      </c>
      <c r="C74" s="146">
        <v>375598</v>
      </c>
      <c r="D74" s="146">
        <v>464508</v>
      </c>
      <c r="E74" s="146">
        <f t="shared" si="2"/>
        <v>88910</v>
      </c>
      <c r="F74" s="150">
        <f t="shared" si="3"/>
        <v>0.23671585045713769</v>
      </c>
    </row>
    <row r="75" spans="1:6" ht="15" customHeight="1" x14ac:dyDescent="0.2">
      <c r="A75" s="141">
        <v>14</v>
      </c>
      <c r="B75" s="149" t="s">
        <v>214</v>
      </c>
      <c r="C75" s="146">
        <v>621521</v>
      </c>
      <c r="D75" s="146">
        <v>721730</v>
      </c>
      <c r="E75" s="146">
        <f t="shared" si="2"/>
        <v>100209</v>
      </c>
      <c r="F75" s="150">
        <f t="shared" si="3"/>
        <v>0.16123188114319548</v>
      </c>
    </row>
    <row r="76" spans="1:6" ht="15" customHeight="1" x14ac:dyDescent="0.2">
      <c r="A76" s="141">
        <v>15</v>
      </c>
      <c r="B76" s="149" t="s">
        <v>215</v>
      </c>
      <c r="C76" s="146">
        <v>0</v>
      </c>
      <c r="D76" s="146">
        <v>58127</v>
      </c>
      <c r="E76" s="146">
        <f t="shared" si="2"/>
        <v>58127</v>
      </c>
      <c r="F76" s="150">
        <f t="shared" si="3"/>
        <v>0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5093205</v>
      </c>
      <c r="E77" s="146">
        <f t="shared" si="2"/>
        <v>5093205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728387</v>
      </c>
      <c r="E78" s="146">
        <f t="shared" si="2"/>
        <v>728387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303205</v>
      </c>
      <c r="E80" s="146">
        <f t="shared" si="2"/>
        <v>303205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1067033</v>
      </c>
      <c r="E81" s="146">
        <f t="shared" si="2"/>
        <v>1067033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1684282</v>
      </c>
      <c r="E82" s="146">
        <f t="shared" si="2"/>
        <v>1684282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978654</v>
      </c>
      <c r="E83" s="146">
        <f t="shared" si="2"/>
        <v>978654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2353086</v>
      </c>
      <c r="E84" s="146">
        <f t="shared" si="2"/>
        <v>2353086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160616</v>
      </c>
      <c r="E86" s="146">
        <f t="shared" si="2"/>
        <v>160616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18119535</v>
      </c>
      <c r="D89" s="146">
        <v>4819760</v>
      </c>
      <c r="E89" s="146">
        <f t="shared" si="2"/>
        <v>-13299775</v>
      </c>
      <c r="F89" s="150">
        <f t="shared" si="3"/>
        <v>-0.73400200391455961</v>
      </c>
    </row>
    <row r="90" spans="1:7" ht="15.75" customHeight="1" x14ac:dyDescent="0.25">
      <c r="A90" s="141"/>
      <c r="B90" s="151" t="s">
        <v>229</v>
      </c>
      <c r="C90" s="147">
        <f>SUM(C62:C89)</f>
        <v>41212349</v>
      </c>
      <c r="D90" s="147">
        <f>SUM(D62:D89)</f>
        <v>38524807</v>
      </c>
      <c r="E90" s="147">
        <f t="shared" si="2"/>
        <v>-2687542</v>
      </c>
      <c r="F90" s="148">
        <f t="shared" si="3"/>
        <v>-6.521205573601252E-2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13402332</v>
      </c>
      <c r="D93" s="146">
        <v>16076070</v>
      </c>
      <c r="E93" s="146">
        <f>+D93-C93</f>
        <v>2673738</v>
      </c>
      <c r="F93" s="150">
        <f>IF(C93=0,0,E93/C93)</f>
        <v>0.19949796796557495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383278000</v>
      </c>
      <c r="D95" s="147">
        <f>+D93+D90+D59+D50+D47+D44+D41+D35+D30+D24+D18</f>
        <v>403987000</v>
      </c>
      <c r="E95" s="147">
        <f>+D95-C95</f>
        <v>20709000</v>
      </c>
      <c r="F95" s="148">
        <f>IF(C95=0,0,E95/C95)</f>
        <v>5.4031277558325812E-2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25691212</v>
      </c>
      <c r="D103" s="146">
        <v>26103768</v>
      </c>
      <c r="E103" s="146">
        <f t="shared" ref="E103:E121" si="4">D103-C103</f>
        <v>412556</v>
      </c>
      <c r="F103" s="150">
        <f t="shared" ref="F103:F121" si="5">IF(C103=0,0,E103/C103)</f>
        <v>1.6058253693909029E-2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2635628</v>
      </c>
      <c r="D104" s="146">
        <v>2997958</v>
      </c>
      <c r="E104" s="146">
        <f t="shared" si="4"/>
        <v>362330</v>
      </c>
      <c r="F104" s="150">
        <f t="shared" si="5"/>
        <v>0.13747387719359486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7732705</v>
      </c>
      <c r="D105" s="146">
        <v>8518045</v>
      </c>
      <c r="E105" s="146">
        <f t="shared" si="4"/>
        <v>785340</v>
      </c>
      <c r="F105" s="150">
        <f t="shared" si="5"/>
        <v>0.10156083802498608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1210004</v>
      </c>
      <c r="D106" s="146">
        <v>1294290</v>
      </c>
      <c r="E106" s="146">
        <f t="shared" si="4"/>
        <v>84286</v>
      </c>
      <c r="F106" s="150">
        <f t="shared" si="5"/>
        <v>6.9657620966542252E-2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8946616</v>
      </c>
      <c r="D107" s="146">
        <v>15050743</v>
      </c>
      <c r="E107" s="146">
        <f t="shared" si="4"/>
        <v>6104127</v>
      </c>
      <c r="F107" s="150">
        <f t="shared" si="5"/>
        <v>0.68228333483855796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48433310</v>
      </c>
      <c r="D109" s="146">
        <v>48440133</v>
      </c>
      <c r="E109" s="146">
        <f t="shared" si="4"/>
        <v>6823</v>
      </c>
      <c r="F109" s="150">
        <f t="shared" si="5"/>
        <v>1.4087412154981769E-4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15108</v>
      </c>
      <c r="D110" s="146">
        <v>0</v>
      </c>
      <c r="E110" s="146">
        <f t="shared" si="4"/>
        <v>-15108</v>
      </c>
      <c r="F110" s="150">
        <f t="shared" si="5"/>
        <v>-1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849910</v>
      </c>
      <c r="D111" s="146">
        <v>916090</v>
      </c>
      <c r="E111" s="146">
        <f t="shared" si="4"/>
        <v>66180</v>
      </c>
      <c r="F111" s="150">
        <f t="shared" si="5"/>
        <v>7.7867068277817655E-2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4323659</v>
      </c>
      <c r="D112" s="146">
        <v>4965690</v>
      </c>
      <c r="E112" s="146">
        <f t="shared" si="4"/>
        <v>642031</v>
      </c>
      <c r="F112" s="150">
        <f t="shared" si="5"/>
        <v>0.14849251525154966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3915297</v>
      </c>
      <c r="D113" s="146">
        <v>4125420</v>
      </c>
      <c r="E113" s="146">
        <f t="shared" si="4"/>
        <v>210123</v>
      </c>
      <c r="F113" s="150">
        <f t="shared" si="5"/>
        <v>5.3667193063514723E-2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0</v>
      </c>
      <c r="D114" s="146">
        <v>0</v>
      </c>
      <c r="E114" s="146">
        <f t="shared" si="4"/>
        <v>0</v>
      </c>
      <c r="F114" s="150">
        <f t="shared" si="5"/>
        <v>0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5260163</v>
      </c>
      <c r="D115" s="146">
        <v>4841519</v>
      </c>
      <c r="E115" s="146">
        <f t="shared" si="4"/>
        <v>-418644</v>
      </c>
      <c r="F115" s="150">
        <f t="shared" si="5"/>
        <v>-7.9587647759204419E-2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1895532</v>
      </c>
      <c r="D116" s="146">
        <v>2024737</v>
      </c>
      <c r="E116" s="146">
        <f t="shared" si="4"/>
        <v>129205</v>
      </c>
      <c r="F116" s="150">
        <f t="shared" si="5"/>
        <v>6.816292207148178E-2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5667788</v>
      </c>
      <c r="D117" s="146">
        <v>5916374</v>
      </c>
      <c r="E117" s="146">
        <f t="shared" si="4"/>
        <v>248586</v>
      </c>
      <c r="F117" s="150">
        <f t="shared" si="5"/>
        <v>4.3859438638142428E-2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2261521</v>
      </c>
      <c r="D118" s="146">
        <v>2429880</v>
      </c>
      <c r="E118" s="146">
        <f t="shared" si="4"/>
        <v>168359</v>
      </c>
      <c r="F118" s="150">
        <f t="shared" si="5"/>
        <v>7.4445030578977597E-2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12986135</v>
      </c>
      <c r="D119" s="146">
        <v>13135290</v>
      </c>
      <c r="E119" s="146">
        <f t="shared" si="4"/>
        <v>149155</v>
      </c>
      <c r="F119" s="150">
        <f t="shared" si="5"/>
        <v>1.1485711491525384E-2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63335536</v>
      </c>
      <c r="D120" s="146">
        <v>59460903</v>
      </c>
      <c r="E120" s="146">
        <f t="shared" si="4"/>
        <v>-3874633</v>
      </c>
      <c r="F120" s="150">
        <f t="shared" si="5"/>
        <v>-6.1176288142568182E-2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195160124</v>
      </c>
      <c r="D121" s="147">
        <f>SUM(D103:D120)</f>
        <v>200220840</v>
      </c>
      <c r="E121" s="147">
        <f t="shared" si="4"/>
        <v>5060716</v>
      </c>
      <c r="F121" s="148">
        <f t="shared" si="5"/>
        <v>2.5931096456979091E-2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0</v>
      </c>
      <c r="D124" s="146">
        <v>0</v>
      </c>
      <c r="E124" s="146">
        <f t="shared" ref="E124:E130" si="6">D124-C124</f>
        <v>0</v>
      </c>
      <c r="F124" s="150">
        <f t="shared" ref="F124:F130" si="7">IF(C124=0,0,E124/C124)</f>
        <v>0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3511414</v>
      </c>
      <c r="D126" s="146">
        <v>4418868</v>
      </c>
      <c r="E126" s="146">
        <f t="shared" si="6"/>
        <v>907454</v>
      </c>
      <c r="F126" s="150">
        <f t="shared" si="7"/>
        <v>0.25842979494870155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2811035</v>
      </c>
      <c r="D127" s="146">
        <v>3112075</v>
      </c>
      <c r="E127" s="146">
        <f t="shared" si="6"/>
        <v>301040</v>
      </c>
      <c r="F127" s="150">
        <f t="shared" si="7"/>
        <v>0.10709222759588551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2553208</v>
      </c>
      <c r="D128" s="146">
        <v>3266275</v>
      </c>
      <c r="E128" s="146">
        <f t="shared" si="6"/>
        <v>713067</v>
      </c>
      <c r="F128" s="150">
        <f t="shared" si="7"/>
        <v>0.27928276897142734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8875657</v>
      </c>
      <c r="D130" s="147">
        <f>SUM(D124:D129)</f>
        <v>10797218</v>
      </c>
      <c r="E130" s="147">
        <f t="shared" si="6"/>
        <v>1921561</v>
      </c>
      <c r="F130" s="148">
        <f t="shared" si="7"/>
        <v>0.21649788855067292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23303424</v>
      </c>
      <c r="D133" s="146">
        <v>24390293</v>
      </c>
      <c r="E133" s="146">
        <f t="shared" ref="E133:E167" si="8">D133-C133</f>
        <v>1086869</v>
      </c>
      <c r="F133" s="150">
        <f t="shared" ref="F133:F167" si="9">IF(C133=0,0,E133/C133)</f>
        <v>4.663988433631041E-2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1506213</v>
      </c>
      <c r="D134" s="146">
        <v>1657520</v>
      </c>
      <c r="E134" s="146">
        <f t="shared" si="8"/>
        <v>151307</v>
      </c>
      <c r="F134" s="150">
        <f t="shared" si="9"/>
        <v>0.10045524769737083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1875331</v>
      </c>
      <c r="D135" s="146">
        <v>2102880</v>
      </c>
      <c r="E135" s="146">
        <f t="shared" si="8"/>
        <v>227549</v>
      </c>
      <c r="F135" s="150">
        <f t="shared" si="9"/>
        <v>0.12133804645686548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4083718</v>
      </c>
      <c r="D136" s="146">
        <v>4320694</v>
      </c>
      <c r="E136" s="146">
        <f t="shared" si="8"/>
        <v>236976</v>
      </c>
      <c r="F136" s="150">
        <f t="shared" si="9"/>
        <v>5.802947216237752E-2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5476004</v>
      </c>
      <c r="D137" s="146">
        <v>5476338</v>
      </c>
      <c r="E137" s="146">
        <f t="shared" si="8"/>
        <v>334</v>
      </c>
      <c r="F137" s="150">
        <f t="shared" si="9"/>
        <v>6.0993381305053833E-5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1367569</v>
      </c>
      <c r="D138" s="146">
        <v>1866831</v>
      </c>
      <c r="E138" s="146">
        <f t="shared" si="8"/>
        <v>499262</v>
      </c>
      <c r="F138" s="150">
        <f t="shared" si="9"/>
        <v>0.36507262156425013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3416873</v>
      </c>
      <c r="D139" s="146">
        <v>3412256</v>
      </c>
      <c r="E139" s="146">
        <f t="shared" si="8"/>
        <v>-4617</v>
      </c>
      <c r="F139" s="150">
        <f t="shared" si="9"/>
        <v>-1.3512354717310241E-3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789761</v>
      </c>
      <c r="D140" s="146">
        <v>678219</v>
      </c>
      <c r="E140" s="146">
        <f t="shared" si="8"/>
        <v>-111542</v>
      </c>
      <c r="F140" s="150">
        <f t="shared" si="9"/>
        <v>-0.14123513316053843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1266493</v>
      </c>
      <c r="D141" s="146">
        <v>1444558</v>
      </c>
      <c r="E141" s="146">
        <f t="shared" si="8"/>
        <v>178065</v>
      </c>
      <c r="F141" s="150">
        <f t="shared" si="9"/>
        <v>0.14059690815503914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12519831</v>
      </c>
      <c r="D142" s="146">
        <v>13689675</v>
      </c>
      <c r="E142" s="146">
        <f t="shared" si="8"/>
        <v>1169844</v>
      </c>
      <c r="F142" s="150">
        <f t="shared" si="9"/>
        <v>9.3439280450351131E-2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11881744</v>
      </c>
      <c r="D144" s="146">
        <v>13919885</v>
      </c>
      <c r="E144" s="146">
        <f t="shared" si="8"/>
        <v>2038141</v>
      </c>
      <c r="F144" s="150">
        <f t="shared" si="9"/>
        <v>0.17153550859200467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1214650</v>
      </c>
      <c r="D145" s="146">
        <v>1006194</v>
      </c>
      <c r="E145" s="146">
        <f t="shared" si="8"/>
        <v>-208456</v>
      </c>
      <c r="F145" s="150">
        <f t="shared" si="9"/>
        <v>-0.17161816161034044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128266</v>
      </c>
      <c r="D146" s="146">
        <v>142367</v>
      </c>
      <c r="E146" s="146">
        <f t="shared" si="8"/>
        <v>14101</v>
      </c>
      <c r="F146" s="150">
        <f t="shared" si="9"/>
        <v>0.10993560257589696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2862146</v>
      </c>
      <c r="D150" s="146">
        <v>2918561</v>
      </c>
      <c r="E150" s="146">
        <f t="shared" si="8"/>
        <v>56415</v>
      </c>
      <c r="F150" s="150">
        <f t="shared" si="9"/>
        <v>1.9710734532759684E-2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411175</v>
      </c>
      <c r="D151" s="146">
        <v>460412</v>
      </c>
      <c r="E151" s="146">
        <f t="shared" si="8"/>
        <v>49237</v>
      </c>
      <c r="F151" s="150">
        <f t="shared" si="9"/>
        <v>0.11974706633428589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1788992</v>
      </c>
      <c r="D154" s="146">
        <v>2070249</v>
      </c>
      <c r="E154" s="146">
        <f t="shared" si="8"/>
        <v>281257</v>
      </c>
      <c r="F154" s="150">
        <f t="shared" si="9"/>
        <v>0.15721534808428433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785146</v>
      </c>
      <c r="D155" s="146">
        <v>733759</v>
      </c>
      <c r="E155" s="146">
        <f t="shared" si="8"/>
        <v>-51387</v>
      </c>
      <c r="F155" s="150">
        <f t="shared" si="9"/>
        <v>-6.544897382142939E-2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17034981</v>
      </c>
      <c r="D156" s="146">
        <v>20117719</v>
      </c>
      <c r="E156" s="146">
        <f t="shared" si="8"/>
        <v>3082738</v>
      </c>
      <c r="F156" s="150">
        <f t="shared" si="9"/>
        <v>0.18096515634505256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0</v>
      </c>
      <c r="D157" s="146">
        <v>0</v>
      </c>
      <c r="E157" s="146">
        <f t="shared" si="8"/>
        <v>0</v>
      </c>
      <c r="F157" s="150">
        <f t="shared" si="9"/>
        <v>0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214162</v>
      </c>
      <c r="D158" s="146">
        <v>293732</v>
      </c>
      <c r="E158" s="146">
        <f t="shared" si="8"/>
        <v>79570</v>
      </c>
      <c r="F158" s="150">
        <f t="shared" si="9"/>
        <v>0.37154116976867979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2613058</v>
      </c>
      <c r="D160" s="146">
        <v>2684712</v>
      </c>
      <c r="E160" s="146">
        <f t="shared" si="8"/>
        <v>71654</v>
      </c>
      <c r="F160" s="150">
        <f t="shared" si="9"/>
        <v>2.742151150108417E-2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4873521</v>
      </c>
      <c r="D164" s="146">
        <v>5440274</v>
      </c>
      <c r="E164" s="146">
        <f t="shared" si="8"/>
        <v>566753</v>
      </c>
      <c r="F164" s="150">
        <f t="shared" si="9"/>
        <v>0.11629230693783817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0</v>
      </c>
      <c r="D166" s="146">
        <v>0</v>
      </c>
      <c r="E166" s="146">
        <f t="shared" si="8"/>
        <v>0</v>
      </c>
      <c r="F166" s="150">
        <f t="shared" si="9"/>
        <v>0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99413058</v>
      </c>
      <c r="D167" s="147">
        <f>SUM(D133:D166)</f>
        <v>108827128</v>
      </c>
      <c r="E167" s="147">
        <f t="shared" si="8"/>
        <v>9414070</v>
      </c>
      <c r="F167" s="148">
        <f t="shared" si="9"/>
        <v>9.4696513610918201E-2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40131537</v>
      </c>
      <c r="D170" s="146">
        <v>40446665</v>
      </c>
      <c r="E170" s="146">
        <f t="shared" ref="E170:E183" si="10">D170-C170</f>
        <v>315128</v>
      </c>
      <c r="F170" s="150">
        <f t="shared" ref="F170:F183" si="11">IF(C170=0,0,E170/C170)</f>
        <v>7.8523780437315428E-3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3203594</v>
      </c>
      <c r="D171" s="146">
        <v>3270935</v>
      </c>
      <c r="E171" s="146">
        <f t="shared" si="10"/>
        <v>67341</v>
      </c>
      <c r="F171" s="150">
        <f t="shared" si="11"/>
        <v>2.1020453902710519E-2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2191717</v>
      </c>
      <c r="D173" s="146">
        <v>2397949</v>
      </c>
      <c r="E173" s="146">
        <f t="shared" si="10"/>
        <v>206232</v>
      </c>
      <c r="F173" s="150">
        <f t="shared" si="11"/>
        <v>9.4096089960519533E-2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0</v>
      </c>
      <c r="D175" s="146">
        <v>0</v>
      </c>
      <c r="E175" s="146">
        <f t="shared" si="10"/>
        <v>0</v>
      </c>
      <c r="F175" s="150">
        <f t="shared" si="11"/>
        <v>0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0</v>
      </c>
      <c r="D176" s="146">
        <v>0</v>
      </c>
      <c r="E176" s="146">
        <f t="shared" si="10"/>
        <v>0</v>
      </c>
      <c r="F176" s="150">
        <f t="shared" si="11"/>
        <v>0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2326709</v>
      </c>
      <c r="D177" s="146">
        <v>846779</v>
      </c>
      <c r="E177" s="146">
        <f t="shared" si="10"/>
        <v>-1479930</v>
      </c>
      <c r="F177" s="150">
        <f t="shared" si="11"/>
        <v>-0.63606149286395508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1789038</v>
      </c>
      <c r="D178" s="146">
        <v>2030159</v>
      </c>
      <c r="E178" s="146">
        <f t="shared" si="10"/>
        <v>241121</v>
      </c>
      <c r="F178" s="150">
        <f t="shared" si="11"/>
        <v>0.13477690244701343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9080048</v>
      </c>
      <c r="D179" s="146">
        <v>9320346</v>
      </c>
      <c r="E179" s="146">
        <f t="shared" si="10"/>
        <v>240298</v>
      </c>
      <c r="F179" s="150">
        <f t="shared" si="11"/>
        <v>2.6464397545035004E-2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2233976</v>
      </c>
      <c r="D181" s="146">
        <v>3346236</v>
      </c>
      <c r="E181" s="146">
        <f t="shared" si="10"/>
        <v>1112260</v>
      </c>
      <c r="F181" s="150">
        <f t="shared" si="11"/>
        <v>0.49788359409411742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2287015</v>
      </c>
      <c r="D182" s="146">
        <v>2080489</v>
      </c>
      <c r="E182" s="146">
        <f t="shared" si="10"/>
        <v>-206526</v>
      </c>
      <c r="F182" s="150">
        <f t="shared" si="11"/>
        <v>-9.0303736529930942E-2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63243634</v>
      </c>
      <c r="D183" s="147">
        <f>SUM(D170:D182)</f>
        <v>63739558</v>
      </c>
      <c r="E183" s="147">
        <f t="shared" si="10"/>
        <v>495924</v>
      </c>
      <c r="F183" s="148">
        <f t="shared" si="11"/>
        <v>7.8414848836801509E-3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16585527</v>
      </c>
      <c r="D186" s="146">
        <v>20402256</v>
      </c>
      <c r="E186" s="146">
        <f>D186-C186</f>
        <v>3816729</v>
      </c>
      <c r="F186" s="150">
        <f>IF(C186=0,0,E186/C186)</f>
        <v>0.23012407142685307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383278000</v>
      </c>
      <c r="D188" s="147">
        <f>+D186+D183+D167+D130+D121</f>
        <v>403987000</v>
      </c>
      <c r="E188" s="147">
        <f>D188-C188</f>
        <v>20709000</v>
      </c>
      <c r="F188" s="148">
        <f>IF(C188=0,0,E188/C188)</f>
        <v>5.4031277558325812E-2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FILING&amp;RBRIDGEPORT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359062000</v>
      </c>
      <c r="D11" s="164">
        <v>409615000</v>
      </c>
      <c r="E11" s="51">
        <v>420616000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6954000</v>
      </c>
      <c r="D12" s="49">
        <v>7707000</v>
      </c>
      <c r="E12" s="49">
        <v>16075000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366016000</v>
      </c>
      <c r="D13" s="51">
        <f>+D11+D12</f>
        <v>417322000</v>
      </c>
      <c r="E13" s="51">
        <f>+E11+E12</f>
        <v>436691000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350215000</v>
      </c>
      <c r="D14" s="49">
        <v>383278000</v>
      </c>
      <c r="E14" s="49">
        <v>403987000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15801000</v>
      </c>
      <c r="D15" s="51">
        <f>+D13-D14</f>
        <v>34044000</v>
      </c>
      <c r="E15" s="51">
        <f>+E13-E14</f>
        <v>32704000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1766000</v>
      </c>
      <c r="D16" s="49">
        <v>-38000</v>
      </c>
      <c r="E16" s="49">
        <v>2164000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17567000</v>
      </c>
      <c r="D17" s="51">
        <f>D15+D16</f>
        <v>34006000</v>
      </c>
      <c r="E17" s="51">
        <f>E15+E16</f>
        <v>34868000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4.296295087850955E-2</v>
      </c>
      <c r="D20" s="169">
        <f>IF(+D27=0,0,+D24/+D27)</f>
        <v>8.1584724072813725E-2</v>
      </c>
      <c r="E20" s="169">
        <f>IF(+E27=0,0,+E24/+E27)</f>
        <v>7.4521197206366574E-2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4.8017575629041116E-3</v>
      </c>
      <c r="D21" s="169">
        <f>IF(D27=0,0,+D26/D27)</f>
        <v>-9.106507798046415E-5</v>
      </c>
      <c r="E21" s="169">
        <f>IF(E27=0,0,+E26/E27)</f>
        <v>4.9310136605484724E-3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4.7764708441413666E-2</v>
      </c>
      <c r="D22" s="169">
        <f>IF(D27=0,0,+D28/D27)</f>
        <v>8.1493658994833254E-2</v>
      </c>
      <c r="E22" s="169">
        <f>IF(E27=0,0,+E28/E27)</f>
        <v>7.9452210866915035E-2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15801000</v>
      </c>
      <c r="D24" s="51">
        <f>+D15</f>
        <v>34044000</v>
      </c>
      <c r="E24" s="51">
        <f>+E15</f>
        <v>32704000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366016000</v>
      </c>
      <c r="D25" s="51">
        <f>+D13</f>
        <v>417322000</v>
      </c>
      <c r="E25" s="51">
        <f>+E13</f>
        <v>436691000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1766000</v>
      </c>
      <c r="D26" s="51">
        <f>+D16</f>
        <v>-38000</v>
      </c>
      <c r="E26" s="51">
        <f>+E16</f>
        <v>2164000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367782000</v>
      </c>
      <c r="D27" s="51">
        <f>+D25+D26</f>
        <v>417284000</v>
      </c>
      <c r="E27" s="51">
        <f>+E25+E26</f>
        <v>438855000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17567000</v>
      </c>
      <c r="D28" s="51">
        <f>+D17</f>
        <v>34006000</v>
      </c>
      <c r="E28" s="51">
        <f>+E17</f>
        <v>34868000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62529000</v>
      </c>
      <c r="D31" s="51">
        <v>74736000</v>
      </c>
      <c r="E31" s="51">
        <v>74554000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103099000</v>
      </c>
      <c r="D32" s="51">
        <v>118814000</v>
      </c>
      <c r="E32" s="51">
        <v>123258000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14247000</v>
      </c>
      <c r="D33" s="51">
        <f>+D32-C32</f>
        <v>15715000</v>
      </c>
      <c r="E33" s="51">
        <f>+E32-D32</f>
        <v>4444000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1.1603000000000001</v>
      </c>
      <c r="D34" s="171">
        <f>IF(C32=0,0,+D33/C32)</f>
        <v>0.15242630869358578</v>
      </c>
      <c r="E34" s="171">
        <f>IF(D32=0,0,+E33/D32)</f>
        <v>3.7402999646506306E-2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0.29394796077716007</v>
      </c>
      <c r="D38" s="172">
        <f>IF((D40+D41)=0,0,+D39/(D40+D41))</f>
        <v>0.29336142351486488</v>
      </c>
      <c r="E38" s="172">
        <f>IF((E40+E41)=0,0,+E39/(E40+E41))</f>
        <v>0.28969556309065853</v>
      </c>
      <c r="F38" s="5"/>
    </row>
    <row r="39" spans="1:6" ht="24" customHeight="1" x14ac:dyDescent="0.2">
      <c r="A39" s="21">
        <v>2</v>
      </c>
      <c r="B39" s="48" t="s">
        <v>336</v>
      </c>
      <c r="C39" s="51">
        <v>350215000</v>
      </c>
      <c r="D39" s="51">
        <v>383278000</v>
      </c>
      <c r="E39" s="23">
        <v>403987000</v>
      </c>
      <c r="F39" s="5"/>
    </row>
    <row r="40" spans="1:6" ht="24" customHeight="1" x14ac:dyDescent="0.2">
      <c r="A40" s="21">
        <v>3</v>
      </c>
      <c r="B40" s="48" t="s">
        <v>337</v>
      </c>
      <c r="C40" s="51">
        <v>1185589696</v>
      </c>
      <c r="D40" s="51">
        <v>1300539601</v>
      </c>
      <c r="E40" s="23">
        <v>1390797863</v>
      </c>
      <c r="F40" s="5"/>
    </row>
    <row r="41" spans="1:6" ht="24" customHeight="1" x14ac:dyDescent="0.2">
      <c r="A41" s="21">
        <v>4</v>
      </c>
      <c r="B41" s="48" t="s">
        <v>338</v>
      </c>
      <c r="C41" s="51">
        <v>5828673</v>
      </c>
      <c r="D41" s="51">
        <v>5964831</v>
      </c>
      <c r="E41" s="23">
        <v>3724703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1.3936717370552669</v>
      </c>
      <c r="D43" s="173">
        <f>IF(D38=0,0,IF((D46-D47)=0,0,((+D44-D45)/(D46-D47)/D38)))</f>
        <v>1.4449981697934966</v>
      </c>
      <c r="E43" s="173">
        <f>IF(E38=0,0,IF((E46-E47)=0,0,((+E44-E45)/(E46-E47)/E38)))</f>
        <v>1.4102008543444018</v>
      </c>
      <c r="F43" s="5"/>
    </row>
    <row r="44" spans="1:6" ht="24" customHeight="1" x14ac:dyDescent="0.2">
      <c r="A44" s="21">
        <v>6</v>
      </c>
      <c r="B44" s="48" t="s">
        <v>340</v>
      </c>
      <c r="C44" s="51">
        <v>152671902</v>
      </c>
      <c r="D44" s="51">
        <v>182231020</v>
      </c>
      <c r="E44" s="23">
        <v>179025786</v>
      </c>
      <c r="F44" s="5"/>
    </row>
    <row r="45" spans="1:6" ht="24" customHeight="1" x14ac:dyDescent="0.2">
      <c r="A45" s="21">
        <v>7</v>
      </c>
      <c r="B45" s="48" t="s">
        <v>341</v>
      </c>
      <c r="C45" s="51">
        <v>3288819</v>
      </c>
      <c r="D45" s="51">
        <v>5198394</v>
      </c>
      <c r="E45" s="23">
        <v>4362981</v>
      </c>
      <c r="F45" s="5"/>
    </row>
    <row r="46" spans="1:6" ht="24" customHeight="1" x14ac:dyDescent="0.2">
      <c r="A46" s="21">
        <v>8</v>
      </c>
      <c r="B46" s="48" t="s">
        <v>342</v>
      </c>
      <c r="C46" s="51">
        <v>405205641</v>
      </c>
      <c r="D46" s="51">
        <v>460635737</v>
      </c>
      <c r="E46" s="23">
        <v>475057071</v>
      </c>
      <c r="F46" s="5"/>
    </row>
    <row r="47" spans="1:6" ht="24" customHeight="1" x14ac:dyDescent="0.2">
      <c r="A47" s="21">
        <v>9</v>
      </c>
      <c r="B47" s="48" t="s">
        <v>343</v>
      </c>
      <c r="C47" s="51">
        <v>40560464</v>
      </c>
      <c r="D47" s="51">
        <v>43014082</v>
      </c>
      <c r="E47" s="174">
        <v>47516224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0.95355166440023587</v>
      </c>
      <c r="D49" s="175">
        <f>IF(D38=0,0,IF(D51=0,0,(D50/D51)/D38))</f>
        <v>0.98099313274595012</v>
      </c>
      <c r="E49" s="175">
        <f>IF(E38=0,0,IF(E51=0,0,(E50/E51)/E38))</f>
        <v>0.97630090898843636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131046933</v>
      </c>
      <c r="D50" s="176">
        <v>144351885</v>
      </c>
      <c r="E50" s="176">
        <v>152153815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467532904</v>
      </c>
      <c r="D51" s="176">
        <v>501595334</v>
      </c>
      <c r="E51" s="176">
        <v>537969072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0.71770882656353041</v>
      </c>
      <c r="D53" s="175">
        <f>IF(D38=0,0,IF(D55=0,0,(D54/D55)/D38))</f>
        <v>0.73946165121028029</v>
      </c>
      <c r="E53" s="175">
        <f>IF(E38=0,0,IF(E55=0,0,(E54/E55)/E38))</f>
        <v>0.73901988337043767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59364198</v>
      </c>
      <c r="D54" s="176">
        <v>72981352</v>
      </c>
      <c r="E54" s="176">
        <v>80545712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281388190</v>
      </c>
      <c r="D55" s="176">
        <v>336428860</v>
      </c>
      <c r="E55" s="176">
        <v>376222234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11054283.145507723</v>
      </c>
      <c r="D57" s="53">
        <f>+D60*D38</f>
        <v>12285910.117120827</v>
      </c>
      <c r="E57" s="53">
        <f>+E60*E38</f>
        <v>12979555.641268125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12024692</v>
      </c>
      <c r="D58" s="51">
        <v>13664086</v>
      </c>
      <c r="E58" s="52">
        <v>14777279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25581567</v>
      </c>
      <c r="D59" s="51">
        <v>28215688</v>
      </c>
      <c r="E59" s="52">
        <v>30026844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37606259</v>
      </c>
      <c r="D60" s="51">
        <v>41879774</v>
      </c>
      <c r="E60" s="52">
        <v>44804123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3.1564276645796793E-2</v>
      </c>
      <c r="D62" s="178">
        <f>IF(D63=0,0,+D57/D63)</f>
        <v>3.2054827350176181E-2</v>
      </c>
      <c r="E62" s="178">
        <f>IF(E63=0,0,+E57/E63)</f>
        <v>3.2128646816031517E-2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350215000</v>
      </c>
      <c r="D63" s="176">
        <v>383278000</v>
      </c>
      <c r="E63" s="176">
        <v>403987000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1.9502528700267292</v>
      </c>
      <c r="D67" s="179">
        <f>IF(D69=0,0,D68/D69)</f>
        <v>1.7913989521078015</v>
      </c>
      <c r="E67" s="179">
        <f>IF(E69=0,0,E68/E69)</f>
        <v>1.5974495480995419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101419000</v>
      </c>
      <c r="D68" s="180">
        <v>111803000</v>
      </c>
      <c r="E68" s="180">
        <v>129026000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52003000</v>
      </c>
      <c r="D69" s="180">
        <v>62411000</v>
      </c>
      <c r="E69" s="180">
        <v>80770000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68.100644614028695</v>
      </c>
      <c r="D71" s="181">
        <f>IF((D77/365)=0,0,+D74/(D77/365))</f>
        <v>55.51731121322171</v>
      </c>
      <c r="E71" s="181">
        <f>IF((E77/365)=0,0,+E74/(E77/365))</f>
        <v>54.171039467239169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44477000</v>
      </c>
      <c r="D72" s="182">
        <v>37123000</v>
      </c>
      <c r="E72" s="182">
        <v>15511000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17550000</v>
      </c>
      <c r="D73" s="184">
        <v>18455000</v>
      </c>
      <c r="E73" s="184">
        <v>41452000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62027000</v>
      </c>
      <c r="D74" s="180">
        <f>+D72+D73</f>
        <v>55578000</v>
      </c>
      <c r="E74" s="180">
        <f>+E72+E73</f>
        <v>56963000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350215000</v>
      </c>
      <c r="D75" s="180">
        <f>+D14</f>
        <v>383278000</v>
      </c>
      <c r="E75" s="180">
        <f>+E14</f>
        <v>403987000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17768000</v>
      </c>
      <c r="D76" s="180">
        <v>17879000</v>
      </c>
      <c r="E76" s="180">
        <v>20175000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332447000</v>
      </c>
      <c r="D77" s="180">
        <f>+D75-D76</f>
        <v>365399000</v>
      </c>
      <c r="E77" s="180">
        <f>+E75-E76</f>
        <v>383812000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28.15808968924587</v>
      </c>
      <c r="D79" s="179">
        <f>IF((D84/365)=0,0,+D83/(D84/365))</f>
        <v>35.852629908572688</v>
      </c>
      <c r="E79" s="179">
        <f>IF((E84/365)=0,0,+E83/(E84/365))</f>
        <v>37.299567776784528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29146000</v>
      </c>
      <c r="D80" s="189">
        <v>41819000</v>
      </c>
      <c r="E80" s="189">
        <v>42983000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1411000</v>
      </c>
      <c r="D81" s="190">
        <v>2403000</v>
      </c>
      <c r="E81" s="190">
        <v>11424000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2857000</v>
      </c>
      <c r="D82" s="190">
        <v>3987000</v>
      </c>
      <c r="E82" s="190">
        <v>11424000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27700000</v>
      </c>
      <c r="D83" s="191">
        <f>+D80+D81-D82</f>
        <v>40235000</v>
      </c>
      <c r="E83" s="191">
        <f>+E80+E81-E82</f>
        <v>42983000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359062000</v>
      </c>
      <c r="D84" s="191">
        <f>+D11</f>
        <v>409615000</v>
      </c>
      <c r="E84" s="191">
        <f>+E11</f>
        <v>420616000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57.095100873221895</v>
      </c>
      <c r="D86" s="179">
        <f>IF((D90/365)=0,0,+D87/(D90/365))</f>
        <v>62.342849870962972</v>
      </c>
      <c r="E86" s="179">
        <f>IF((E90/365)=0,0,+E87/(E90/365))</f>
        <v>76.811173178535327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52003000</v>
      </c>
      <c r="D87" s="51">
        <f>+D69</f>
        <v>62411000</v>
      </c>
      <c r="E87" s="51">
        <f>+E69</f>
        <v>80770000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350215000</v>
      </c>
      <c r="D88" s="51">
        <f t="shared" si="0"/>
        <v>383278000</v>
      </c>
      <c r="E88" s="51">
        <f t="shared" si="0"/>
        <v>403987000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17768000</v>
      </c>
      <c r="D89" s="52">
        <f t="shared" si="0"/>
        <v>17879000</v>
      </c>
      <c r="E89" s="52">
        <f t="shared" si="0"/>
        <v>20175000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332447000</v>
      </c>
      <c r="D90" s="51">
        <f>+D88-D89</f>
        <v>365399000</v>
      </c>
      <c r="E90" s="51">
        <f>+E88-E89</f>
        <v>383812000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34.566704999983237</v>
      </c>
      <c r="D94" s="192">
        <f>IF(D96=0,0,(D95/D96)*100)</f>
        <v>36.176354169838319</v>
      </c>
      <c r="E94" s="192">
        <f>IF(E96=0,0,(E95/E96)*100)</f>
        <v>31.622129179237728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103099000</v>
      </c>
      <c r="D95" s="51">
        <f>+D32</f>
        <v>118814000</v>
      </c>
      <c r="E95" s="51">
        <f>+E32</f>
        <v>123258000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298261000</v>
      </c>
      <c r="D96" s="51">
        <v>328430000</v>
      </c>
      <c r="E96" s="51">
        <v>389784000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35.638641223221853</v>
      </c>
      <c r="D98" s="192">
        <f>IF(D104=0,0,(D101/D104)*100)</f>
        <v>46.256508095000356</v>
      </c>
      <c r="E98" s="192">
        <f>IF(E104=0,0,(E101/E104)*100)</f>
        <v>42.933248053913232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17567000</v>
      </c>
      <c r="D99" s="51">
        <f>+D28</f>
        <v>34006000</v>
      </c>
      <c r="E99" s="51">
        <f>+E28</f>
        <v>34868000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17768000</v>
      </c>
      <c r="D100" s="52">
        <f>+D76</f>
        <v>17879000</v>
      </c>
      <c r="E100" s="52">
        <f>+E76</f>
        <v>20175000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35335000</v>
      </c>
      <c r="D101" s="51">
        <f>+D99+D100</f>
        <v>51885000</v>
      </c>
      <c r="E101" s="51">
        <f>+E99+E100</f>
        <v>55043000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52003000</v>
      </c>
      <c r="D102" s="180">
        <f>+D69</f>
        <v>62411000</v>
      </c>
      <c r="E102" s="180">
        <f>+E69</f>
        <v>80770000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47145000</v>
      </c>
      <c r="D103" s="194">
        <v>49757000</v>
      </c>
      <c r="E103" s="194">
        <v>47436000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99148000</v>
      </c>
      <c r="D104" s="180">
        <f>+D102+D103</f>
        <v>112168000</v>
      </c>
      <c r="E104" s="180">
        <f>+E102+E103</f>
        <v>128206000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31.378956896781236</v>
      </c>
      <c r="D106" s="197">
        <f>IF(D109=0,0,(D107/D109)*100)</f>
        <v>29.516939449846056</v>
      </c>
      <c r="E106" s="197">
        <f>IF(E109=0,0,(E107/E109)*100)</f>
        <v>27.790080494920737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47145000</v>
      </c>
      <c r="D107" s="180">
        <f>+D103</f>
        <v>49757000</v>
      </c>
      <c r="E107" s="180">
        <f>+E103</f>
        <v>47436000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103099000</v>
      </c>
      <c r="D108" s="180">
        <f>+D32</f>
        <v>118814000</v>
      </c>
      <c r="E108" s="180">
        <f>+E32</f>
        <v>123258000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150244000</v>
      </c>
      <c r="D109" s="180">
        <f>+D107+D108</f>
        <v>168571000</v>
      </c>
      <c r="E109" s="180">
        <f>+E107+E108</f>
        <v>170694000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6.5698151950718682</v>
      </c>
      <c r="D111" s="197">
        <f>IF((+D113+D115)=0,0,((+D112+D113+D114)/(+D113+D115)))</f>
        <v>9.082576383154418</v>
      </c>
      <c r="E111" s="197">
        <f>IF((+E113+E115)=0,0,((+E112+E113+E114)/(+E113+E115)))</f>
        <v>6.4529714030384273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17567000</v>
      </c>
      <c r="D112" s="180">
        <f>+D17</f>
        <v>34006000</v>
      </c>
      <c r="E112" s="180">
        <f>+E17</f>
        <v>34868000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3059000</v>
      </c>
      <c r="D113" s="180">
        <v>3110000</v>
      </c>
      <c r="E113" s="180">
        <v>2724000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17768000</v>
      </c>
      <c r="D114" s="180">
        <v>17879000</v>
      </c>
      <c r="E114" s="180">
        <v>20175000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2785000</v>
      </c>
      <c r="D115" s="180">
        <v>2945000</v>
      </c>
      <c r="E115" s="180">
        <v>6228000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14.004952723998199</v>
      </c>
      <c r="D119" s="197">
        <f>IF(+D121=0,0,(+D120)/(+D121))</f>
        <v>14.819173331841826</v>
      </c>
      <c r="E119" s="197">
        <f>IF(+E121=0,0,(+E120)/(+E121))</f>
        <v>14.062998760842627</v>
      </c>
    </row>
    <row r="120" spans="1:8" ht="24" customHeight="1" x14ac:dyDescent="0.25">
      <c r="A120" s="17">
        <v>21</v>
      </c>
      <c r="B120" s="48" t="s">
        <v>381</v>
      </c>
      <c r="C120" s="180">
        <v>248840000</v>
      </c>
      <c r="D120" s="180">
        <v>264952000</v>
      </c>
      <c r="E120" s="180">
        <v>283721000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17768000</v>
      </c>
      <c r="D121" s="180">
        <v>17879000</v>
      </c>
      <c r="E121" s="180">
        <v>20175000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104729</v>
      </c>
      <c r="D124" s="198">
        <v>104095</v>
      </c>
      <c r="E124" s="198">
        <v>100830</v>
      </c>
    </row>
    <row r="125" spans="1:8" ht="24" customHeight="1" x14ac:dyDescent="0.2">
      <c r="A125" s="44">
        <v>2</v>
      </c>
      <c r="B125" s="48" t="s">
        <v>385</v>
      </c>
      <c r="C125" s="198">
        <v>19044</v>
      </c>
      <c r="D125" s="198">
        <v>19058</v>
      </c>
      <c r="E125" s="198">
        <v>18936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5.4993173703003571</v>
      </c>
      <c r="D126" s="199">
        <f>IF(D125=0,0,D124/D125)</f>
        <v>5.4620107041662296</v>
      </c>
      <c r="E126" s="199">
        <f>IF(E125=0,0,E124/E125)</f>
        <v>5.3247782002534851</v>
      </c>
    </row>
    <row r="127" spans="1:8" ht="24" customHeight="1" x14ac:dyDescent="0.2">
      <c r="A127" s="44">
        <v>4</v>
      </c>
      <c r="B127" s="48" t="s">
        <v>387</v>
      </c>
      <c r="C127" s="198">
        <v>290</v>
      </c>
      <c r="D127" s="198">
        <v>289</v>
      </c>
      <c r="E127" s="198">
        <v>281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406</v>
      </c>
      <c r="E128" s="198">
        <v>371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425</v>
      </c>
      <c r="D129" s="198">
        <v>425</v>
      </c>
      <c r="E129" s="198">
        <v>383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0.98939999999999995</v>
      </c>
      <c r="D130" s="171">
        <v>0.98680000000000001</v>
      </c>
      <c r="E130" s="171">
        <v>0.98299999999999998</v>
      </c>
    </row>
    <row r="131" spans="1:8" ht="24" customHeight="1" x14ac:dyDescent="0.2">
      <c r="A131" s="44">
        <v>7</v>
      </c>
      <c r="B131" s="48" t="s">
        <v>391</v>
      </c>
      <c r="C131" s="171">
        <v>0.72270000000000001</v>
      </c>
      <c r="D131" s="171">
        <v>0.70240000000000002</v>
      </c>
      <c r="E131" s="171">
        <v>0.74450000000000005</v>
      </c>
    </row>
    <row r="132" spans="1:8" ht="24" customHeight="1" x14ac:dyDescent="0.2">
      <c r="A132" s="44">
        <v>8</v>
      </c>
      <c r="B132" s="48" t="s">
        <v>392</v>
      </c>
      <c r="C132" s="199">
        <v>2015.4</v>
      </c>
      <c r="D132" s="199">
        <v>2085.9</v>
      </c>
      <c r="E132" s="199">
        <v>2110.6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0.30756439452051376</v>
      </c>
      <c r="D135" s="203">
        <f>IF(D149=0,0,D143/D149)</f>
        <v>0.32111413960704144</v>
      </c>
      <c r="E135" s="203">
        <f>IF(E149=0,0,E143/E149)</f>
        <v>0.30740689094659618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0.39434629499344098</v>
      </c>
      <c r="D136" s="203">
        <f>IF(D149=0,0,D144/D149)</f>
        <v>0.38568247642310738</v>
      </c>
      <c r="E136" s="203">
        <f>IF(E149=0,0,E144/E149)</f>
        <v>0.38680608182671616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0.23734027965101342</v>
      </c>
      <c r="D137" s="203">
        <f>IF(D149=0,0,D145/D149)</f>
        <v>0.25868405678790246</v>
      </c>
      <c r="E137" s="203">
        <f>IF(E149=0,0,E145/E149)</f>
        <v>0.27050820540410908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2.530579601123659E-2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3.4211215007050801E-2</v>
      </c>
      <c r="D139" s="203">
        <f>IF(D149=0,0,D147/D149)</f>
        <v>3.3074027093773981E-2</v>
      </c>
      <c r="E139" s="203">
        <f>IF(E149=0,0,E147/E149)</f>
        <v>3.4164723188102854E-2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1.2320198167444262E-3</v>
      </c>
      <c r="D140" s="203">
        <f>IF(D149=0,0,D148/D149)</f>
        <v>1.4453000881747083E-3</v>
      </c>
      <c r="E140" s="203">
        <f>IF(E149=0,0,E148/E149)</f>
        <v>1.1140986344756844E-3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364645177</v>
      </c>
      <c r="D143" s="205">
        <f>+D46-D147</f>
        <v>417621655</v>
      </c>
      <c r="E143" s="205">
        <f>+E46-E147</f>
        <v>427540847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467532904</v>
      </c>
      <c r="D144" s="205">
        <f>+D51</f>
        <v>501595334</v>
      </c>
      <c r="E144" s="205">
        <f>+E51</f>
        <v>537969072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281388190</v>
      </c>
      <c r="D145" s="205">
        <f>+D55</f>
        <v>336428860</v>
      </c>
      <c r="E145" s="205">
        <f>+E55</f>
        <v>376222234</v>
      </c>
    </row>
    <row r="146" spans="1:7" ht="20.100000000000001" customHeight="1" x14ac:dyDescent="0.2">
      <c r="A146" s="202">
        <v>11</v>
      </c>
      <c r="B146" s="201" t="s">
        <v>404</v>
      </c>
      <c r="C146" s="204">
        <v>30002291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40560464</v>
      </c>
      <c r="D147" s="205">
        <f>+D47</f>
        <v>43014082</v>
      </c>
      <c r="E147" s="205">
        <f>+E47</f>
        <v>47516224</v>
      </c>
    </row>
    <row r="148" spans="1:7" ht="20.100000000000001" customHeight="1" x14ac:dyDescent="0.2">
      <c r="A148" s="202">
        <v>13</v>
      </c>
      <c r="B148" s="201" t="s">
        <v>406</v>
      </c>
      <c r="C148" s="206">
        <v>1460670</v>
      </c>
      <c r="D148" s="205">
        <v>1879670</v>
      </c>
      <c r="E148" s="205">
        <v>1549486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1185589696</v>
      </c>
      <c r="D149" s="205">
        <f>SUM(D143:D148)</f>
        <v>1300539601</v>
      </c>
      <c r="E149" s="205">
        <f>SUM(E143:E148)</f>
        <v>1390797863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0.43130546627426014</v>
      </c>
      <c r="D152" s="203">
        <f>IF(D166=0,0,D160/D166)</f>
        <v>0.44265351279533599</v>
      </c>
      <c r="E152" s="203">
        <f>IF(E166=0,0,E160/E166)</f>
        <v>0.42397276593771377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0.37836452030767587</v>
      </c>
      <c r="D153" s="203">
        <f>IF(D166=0,0,D161/D166)</f>
        <v>0.36093837852169897</v>
      </c>
      <c r="E153" s="203">
        <f>IF(E166=0,0,E161/E166)</f>
        <v>0.36933492390394856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0.17139894681640425</v>
      </c>
      <c r="D154" s="203">
        <f>IF(D166=0,0,D162/D166)</f>
        <v>0.18248304033716881</v>
      </c>
      <c r="E154" s="203">
        <f>IF(E166=0,0,E162/E166)</f>
        <v>0.19551494264083588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8.706219789607195E-3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9.4956241617174687E-3</v>
      </c>
      <c r="D156" s="203">
        <f>IF(D166=0,0,D164/D166)</f>
        <v>1.2998097678301387E-2</v>
      </c>
      <c r="E156" s="203">
        <f>IF(E166=0,0,E164/E166)</f>
        <v>1.0590606983001861E-2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7.2922265033511895E-4</v>
      </c>
      <c r="D157" s="203">
        <f>IF(D166=0,0,D165/D166)</f>
        <v>9.2697066749486791E-4</v>
      </c>
      <c r="E157" s="203">
        <f>IF(E166=0,0,E165/E166)</f>
        <v>5.867605344999458E-4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149383083</v>
      </c>
      <c r="D160" s="208">
        <f>+D44-D164</f>
        <v>177032626</v>
      </c>
      <c r="E160" s="208">
        <f>+E44-E164</f>
        <v>174662805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131046933</v>
      </c>
      <c r="D161" s="208">
        <f>+D50</f>
        <v>144351885</v>
      </c>
      <c r="E161" s="208">
        <f>+E50</f>
        <v>152153815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59364198</v>
      </c>
      <c r="D162" s="208">
        <f>+D54</f>
        <v>72981352</v>
      </c>
      <c r="E162" s="208">
        <f>+E54</f>
        <v>80545712</v>
      </c>
    </row>
    <row r="163" spans="1:6" ht="20.100000000000001" customHeight="1" x14ac:dyDescent="0.2">
      <c r="A163" s="202">
        <v>11</v>
      </c>
      <c r="B163" s="201" t="s">
        <v>420</v>
      </c>
      <c r="C163" s="207">
        <v>3015408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3288819</v>
      </c>
      <c r="D164" s="208">
        <f>+D45</f>
        <v>5198394</v>
      </c>
      <c r="E164" s="208">
        <f>+E45</f>
        <v>4362981</v>
      </c>
    </row>
    <row r="165" spans="1:6" ht="20.100000000000001" customHeight="1" x14ac:dyDescent="0.2">
      <c r="A165" s="202">
        <v>13</v>
      </c>
      <c r="B165" s="201" t="s">
        <v>422</v>
      </c>
      <c r="C165" s="209">
        <v>252567</v>
      </c>
      <c r="D165" s="208">
        <v>370728</v>
      </c>
      <c r="E165" s="208">
        <v>241726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346351008</v>
      </c>
      <c r="D166" s="208">
        <f>SUM(D160:D165)</f>
        <v>399934985</v>
      </c>
      <c r="E166" s="208">
        <f>SUM(E160:E165)</f>
        <v>411967039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6407</v>
      </c>
      <c r="D169" s="198">
        <v>6089</v>
      </c>
      <c r="E169" s="198">
        <v>5672</v>
      </c>
    </row>
    <row r="170" spans="1:6" ht="20.100000000000001" customHeight="1" x14ac:dyDescent="0.2">
      <c r="A170" s="202">
        <v>2</v>
      </c>
      <c r="B170" s="201" t="s">
        <v>426</v>
      </c>
      <c r="C170" s="198">
        <v>6937</v>
      </c>
      <c r="D170" s="198">
        <v>6932</v>
      </c>
      <c r="E170" s="198">
        <v>7260</v>
      </c>
    </row>
    <row r="171" spans="1:6" ht="20.100000000000001" customHeight="1" x14ac:dyDescent="0.2">
      <c r="A171" s="202">
        <v>3</v>
      </c>
      <c r="B171" s="201" t="s">
        <v>427</v>
      </c>
      <c r="C171" s="198">
        <v>5672</v>
      </c>
      <c r="D171" s="198">
        <v>6004</v>
      </c>
      <c r="E171" s="198">
        <v>5984</v>
      </c>
    </row>
    <row r="172" spans="1:6" ht="20.100000000000001" customHeight="1" x14ac:dyDescent="0.2">
      <c r="A172" s="202">
        <v>4</v>
      </c>
      <c r="B172" s="201" t="s">
        <v>428</v>
      </c>
      <c r="C172" s="198">
        <v>5266</v>
      </c>
      <c r="D172" s="198">
        <v>6004</v>
      </c>
      <c r="E172" s="198">
        <v>5984</v>
      </c>
    </row>
    <row r="173" spans="1:6" ht="20.100000000000001" customHeight="1" x14ac:dyDescent="0.2">
      <c r="A173" s="202">
        <v>5</v>
      </c>
      <c r="B173" s="201" t="s">
        <v>429</v>
      </c>
      <c r="C173" s="198">
        <v>406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28</v>
      </c>
      <c r="D174" s="198">
        <v>33</v>
      </c>
      <c r="E174" s="198">
        <v>20</v>
      </c>
    </row>
    <row r="175" spans="1:6" ht="20.100000000000001" customHeight="1" x14ac:dyDescent="0.2">
      <c r="A175" s="202">
        <v>7</v>
      </c>
      <c r="B175" s="201" t="s">
        <v>431</v>
      </c>
      <c r="C175" s="198">
        <v>311</v>
      </c>
      <c r="D175" s="198">
        <v>262</v>
      </c>
      <c r="E175" s="198">
        <v>296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19044</v>
      </c>
      <c r="D176" s="198">
        <f>+D169+D170+D171+D174</f>
        <v>19058</v>
      </c>
      <c r="E176" s="198">
        <f>+E169+E170+E171+E174</f>
        <v>18936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1.1827700000000001</v>
      </c>
      <c r="D179" s="210">
        <v>1.2248300000000001</v>
      </c>
      <c r="E179" s="210">
        <v>1.2174799999999999</v>
      </c>
    </row>
    <row r="180" spans="1:6" ht="20.100000000000001" customHeight="1" x14ac:dyDescent="0.2">
      <c r="A180" s="202">
        <v>2</v>
      </c>
      <c r="B180" s="201" t="s">
        <v>426</v>
      </c>
      <c r="C180" s="210">
        <v>1.66225</v>
      </c>
      <c r="D180" s="210">
        <v>1.6128899999999999</v>
      </c>
      <c r="E180" s="210">
        <v>1.5809899999999999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1.0187710000000001</v>
      </c>
      <c r="D181" s="210">
        <v>0.99748999999999999</v>
      </c>
      <c r="E181" s="210">
        <v>0.97424999999999995</v>
      </c>
    </row>
    <row r="182" spans="1:6" ht="20.100000000000001" customHeight="1" x14ac:dyDescent="0.2">
      <c r="A182" s="202">
        <v>4</v>
      </c>
      <c r="B182" s="201" t="s">
        <v>428</v>
      </c>
      <c r="C182" s="210">
        <v>1.0019100000000001</v>
      </c>
      <c r="D182" s="210">
        <v>0.99748999999999999</v>
      </c>
      <c r="E182" s="210">
        <v>0.97424999999999995</v>
      </c>
    </row>
    <row r="183" spans="1:6" ht="20.100000000000001" customHeight="1" x14ac:dyDescent="0.2">
      <c r="A183" s="202">
        <v>5</v>
      </c>
      <c r="B183" s="201" t="s">
        <v>429</v>
      </c>
      <c r="C183" s="210">
        <v>1.2374700000000001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1.0464</v>
      </c>
      <c r="D184" s="210">
        <v>0.87963000000000002</v>
      </c>
      <c r="E184" s="210">
        <v>1.05752</v>
      </c>
    </row>
    <row r="185" spans="1:6" ht="20.100000000000001" customHeight="1" x14ac:dyDescent="0.2">
      <c r="A185" s="202">
        <v>7</v>
      </c>
      <c r="B185" s="201" t="s">
        <v>431</v>
      </c>
      <c r="C185" s="210">
        <v>1.18285</v>
      </c>
      <c r="D185" s="210">
        <v>1.14876</v>
      </c>
      <c r="E185" s="210">
        <v>1.0761799999999999</v>
      </c>
    </row>
    <row r="186" spans="1:6" ht="20.100000000000001" customHeight="1" x14ac:dyDescent="0.2">
      <c r="A186" s="202">
        <v>8</v>
      </c>
      <c r="B186" s="201" t="s">
        <v>435</v>
      </c>
      <c r="C186" s="210">
        <v>1.3083800000000001</v>
      </c>
      <c r="D186" s="210">
        <v>1.2937609999999999</v>
      </c>
      <c r="E186" s="210">
        <v>1.2798160000000001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10660</v>
      </c>
      <c r="D189" s="198">
        <v>11166</v>
      </c>
      <c r="E189" s="198">
        <v>11267</v>
      </c>
    </row>
    <row r="190" spans="1:6" ht="20.100000000000001" customHeight="1" x14ac:dyDescent="0.2">
      <c r="A190" s="202">
        <v>2</v>
      </c>
      <c r="B190" s="201" t="s">
        <v>439</v>
      </c>
      <c r="C190" s="198">
        <v>65012</v>
      </c>
      <c r="D190" s="198">
        <v>65670</v>
      </c>
      <c r="E190" s="198">
        <v>67791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75672</v>
      </c>
      <c r="D191" s="198">
        <f>+D190+D189</f>
        <v>76836</v>
      </c>
      <c r="E191" s="198">
        <f>+E190+E189</f>
        <v>79058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FILING&amp;RBRIDGEPORT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441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7523630</v>
      </c>
      <c r="D14" s="237">
        <v>8486163</v>
      </c>
      <c r="E14" s="237">
        <f t="shared" ref="E14:E24" si="0">D14-C14</f>
        <v>962533</v>
      </c>
      <c r="F14" s="238">
        <f t="shared" ref="F14:F24" si="1">IF(C14=0,0,E14/C14)</f>
        <v>0.12793465388383002</v>
      </c>
    </row>
    <row r="15" spans="1:7" ht="20.25" customHeight="1" x14ac:dyDescent="0.3">
      <c r="A15" s="235">
        <v>2</v>
      </c>
      <c r="B15" s="236" t="s">
        <v>447</v>
      </c>
      <c r="C15" s="237">
        <v>2016548</v>
      </c>
      <c r="D15" s="237">
        <v>2225597</v>
      </c>
      <c r="E15" s="237">
        <f t="shared" si="0"/>
        <v>209049</v>
      </c>
      <c r="F15" s="238">
        <f t="shared" si="1"/>
        <v>0.10366676121768488</v>
      </c>
    </row>
    <row r="16" spans="1:7" ht="20.25" customHeight="1" x14ac:dyDescent="0.3">
      <c r="A16" s="235">
        <v>3</v>
      </c>
      <c r="B16" s="236" t="s">
        <v>448</v>
      </c>
      <c r="C16" s="237">
        <v>3153831</v>
      </c>
      <c r="D16" s="237">
        <v>3819026</v>
      </c>
      <c r="E16" s="237">
        <f t="shared" si="0"/>
        <v>665195</v>
      </c>
      <c r="F16" s="238">
        <f t="shared" si="1"/>
        <v>0.21091650123294495</v>
      </c>
    </row>
    <row r="17" spans="1:6" ht="20.25" customHeight="1" x14ac:dyDescent="0.3">
      <c r="A17" s="235">
        <v>4</v>
      </c>
      <c r="B17" s="236" t="s">
        <v>449</v>
      </c>
      <c r="C17" s="237">
        <v>685364</v>
      </c>
      <c r="D17" s="237">
        <v>827389</v>
      </c>
      <c r="E17" s="237">
        <f t="shared" si="0"/>
        <v>142025</v>
      </c>
      <c r="F17" s="238">
        <f t="shared" si="1"/>
        <v>0.20722564943592017</v>
      </c>
    </row>
    <row r="18" spans="1:6" ht="20.25" customHeight="1" x14ac:dyDescent="0.3">
      <c r="A18" s="235">
        <v>5</v>
      </c>
      <c r="B18" s="236" t="s">
        <v>385</v>
      </c>
      <c r="C18" s="239">
        <v>142</v>
      </c>
      <c r="D18" s="239">
        <v>138</v>
      </c>
      <c r="E18" s="239">
        <f t="shared" si="0"/>
        <v>-4</v>
      </c>
      <c r="F18" s="238">
        <f t="shared" si="1"/>
        <v>-2.8169014084507043E-2</v>
      </c>
    </row>
    <row r="19" spans="1:6" ht="20.25" customHeight="1" x14ac:dyDescent="0.3">
      <c r="A19" s="235">
        <v>6</v>
      </c>
      <c r="B19" s="236" t="s">
        <v>384</v>
      </c>
      <c r="C19" s="239">
        <v>1067</v>
      </c>
      <c r="D19" s="239">
        <v>1011</v>
      </c>
      <c r="E19" s="239">
        <f t="shared" si="0"/>
        <v>-56</v>
      </c>
      <c r="F19" s="238">
        <f t="shared" si="1"/>
        <v>-5.248359887535145E-2</v>
      </c>
    </row>
    <row r="20" spans="1:6" ht="20.25" customHeight="1" x14ac:dyDescent="0.3">
      <c r="A20" s="235">
        <v>7</v>
      </c>
      <c r="B20" s="236" t="s">
        <v>450</v>
      </c>
      <c r="C20" s="239">
        <v>764</v>
      </c>
      <c r="D20" s="239">
        <v>957</v>
      </c>
      <c r="E20" s="239">
        <f t="shared" si="0"/>
        <v>193</v>
      </c>
      <c r="F20" s="238">
        <f t="shared" si="1"/>
        <v>0.25261780104712039</v>
      </c>
    </row>
    <row r="21" spans="1:6" ht="20.25" customHeight="1" x14ac:dyDescent="0.3">
      <c r="A21" s="235">
        <v>8</v>
      </c>
      <c r="B21" s="236" t="s">
        <v>451</v>
      </c>
      <c r="C21" s="239">
        <v>100</v>
      </c>
      <c r="D21" s="239">
        <v>94</v>
      </c>
      <c r="E21" s="239">
        <f t="shared" si="0"/>
        <v>-6</v>
      </c>
      <c r="F21" s="238">
        <f t="shared" si="1"/>
        <v>-0.06</v>
      </c>
    </row>
    <row r="22" spans="1:6" ht="20.25" customHeight="1" x14ac:dyDescent="0.3">
      <c r="A22" s="235">
        <v>9</v>
      </c>
      <c r="B22" s="236" t="s">
        <v>452</v>
      </c>
      <c r="C22" s="239">
        <v>107</v>
      </c>
      <c r="D22" s="239">
        <v>102</v>
      </c>
      <c r="E22" s="239">
        <f t="shared" si="0"/>
        <v>-5</v>
      </c>
      <c r="F22" s="238">
        <f t="shared" si="1"/>
        <v>-4.6728971962616821E-2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10677461</v>
      </c>
      <c r="D23" s="243">
        <f>+D14+D16</f>
        <v>12305189</v>
      </c>
      <c r="E23" s="243">
        <f t="shared" si="0"/>
        <v>1627728</v>
      </c>
      <c r="F23" s="244">
        <f t="shared" si="1"/>
        <v>0.15244523019096018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2701912</v>
      </c>
      <c r="D24" s="243">
        <f>+D15+D17</f>
        <v>3052986</v>
      </c>
      <c r="E24" s="243">
        <f t="shared" si="0"/>
        <v>351074</v>
      </c>
      <c r="F24" s="244">
        <f t="shared" si="1"/>
        <v>0.12993539389883904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447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448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449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385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384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450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451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452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23785402</v>
      </c>
      <c r="D53" s="237">
        <v>0</v>
      </c>
      <c r="E53" s="237">
        <f t="shared" ref="E53:E63" si="6">D53-C53</f>
        <v>-23785402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6504358</v>
      </c>
      <c r="D54" s="237">
        <v>0</v>
      </c>
      <c r="E54" s="237">
        <f t="shared" si="6"/>
        <v>-6504358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7924714</v>
      </c>
      <c r="D55" s="237">
        <v>0</v>
      </c>
      <c r="E55" s="237">
        <f t="shared" si="6"/>
        <v>-7924714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1373836</v>
      </c>
      <c r="D56" s="237">
        <v>0</v>
      </c>
      <c r="E56" s="237">
        <f t="shared" si="6"/>
        <v>-1373836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448</v>
      </c>
      <c r="D57" s="239">
        <v>0</v>
      </c>
      <c r="E57" s="239">
        <f t="shared" si="6"/>
        <v>-448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3518</v>
      </c>
      <c r="D58" s="239">
        <v>0</v>
      </c>
      <c r="E58" s="239">
        <f t="shared" si="6"/>
        <v>-3518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1535</v>
      </c>
      <c r="D59" s="239">
        <v>0</v>
      </c>
      <c r="E59" s="239">
        <f t="shared" si="6"/>
        <v>-1535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294</v>
      </c>
      <c r="D60" s="239">
        <v>0</v>
      </c>
      <c r="E60" s="239">
        <f t="shared" si="6"/>
        <v>-294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362</v>
      </c>
      <c r="D61" s="239">
        <v>0</v>
      </c>
      <c r="E61" s="239">
        <f t="shared" si="6"/>
        <v>-362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31710116</v>
      </c>
      <c r="D62" s="243">
        <f>+D53+D55</f>
        <v>0</v>
      </c>
      <c r="E62" s="243">
        <f t="shared" si="6"/>
        <v>-31710116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7878194</v>
      </c>
      <c r="D63" s="243">
        <f>+D54+D56</f>
        <v>0</v>
      </c>
      <c r="E63" s="243">
        <f t="shared" si="6"/>
        <v>-7878194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62567805</v>
      </c>
      <c r="D66" s="237">
        <v>100860899</v>
      </c>
      <c r="E66" s="237">
        <f t="shared" ref="E66:E76" si="8">D66-C66</f>
        <v>38293094</v>
      </c>
      <c r="F66" s="238">
        <f t="shared" ref="F66:F76" si="9">IF(C66=0,0,E66/C66)</f>
        <v>0.61202552974329205</v>
      </c>
    </row>
    <row r="67" spans="1:6" ht="20.25" customHeight="1" x14ac:dyDescent="0.3">
      <c r="A67" s="235">
        <v>2</v>
      </c>
      <c r="B67" s="236" t="s">
        <v>447</v>
      </c>
      <c r="C67" s="237">
        <v>18693890</v>
      </c>
      <c r="D67" s="237">
        <v>28438502</v>
      </c>
      <c r="E67" s="237">
        <f t="shared" si="8"/>
        <v>9744612</v>
      </c>
      <c r="F67" s="238">
        <f t="shared" si="9"/>
        <v>0.52127256552809498</v>
      </c>
    </row>
    <row r="68" spans="1:6" ht="20.25" customHeight="1" x14ac:dyDescent="0.3">
      <c r="A68" s="235">
        <v>3</v>
      </c>
      <c r="B68" s="236" t="s">
        <v>448</v>
      </c>
      <c r="C68" s="237">
        <v>29963594</v>
      </c>
      <c r="D68" s="237">
        <v>43921791</v>
      </c>
      <c r="E68" s="237">
        <f t="shared" si="8"/>
        <v>13958197</v>
      </c>
      <c r="F68" s="238">
        <f t="shared" si="9"/>
        <v>0.46583854393434915</v>
      </c>
    </row>
    <row r="69" spans="1:6" ht="20.25" customHeight="1" x14ac:dyDescent="0.3">
      <c r="A69" s="235">
        <v>4</v>
      </c>
      <c r="B69" s="236" t="s">
        <v>449</v>
      </c>
      <c r="C69" s="237">
        <v>7240373</v>
      </c>
      <c r="D69" s="237">
        <v>9895291</v>
      </c>
      <c r="E69" s="237">
        <f t="shared" si="8"/>
        <v>2654918</v>
      </c>
      <c r="F69" s="238">
        <f t="shared" si="9"/>
        <v>0.36668248997669045</v>
      </c>
    </row>
    <row r="70" spans="1:6" ht="20.25" customHeight="1" x14ac:dyDescent="0.3">
      <c r="A70" s="235">
        <v>5</v>
      </c>
      <c r="B70" s="236" t="s">
        <v>385</v>
      </c>
      <c r="C70" s="239">
        <v>1325</v>
      </c>
      <c r="D70" s="239">
        <v>1891</v>
      </c>
      <c r="E70" s="239">
        <f t="shared" si="8"/>
        <v>566</v>
      </c>
      <c r="F70" s="238">
        <f t="shared" si="9"/>
        <v>0.42716981132075471</v>
      </c>
    </row>
    <row r="71" spans="1:6" ht="20.25" customHeight="1" x14ac:dyDescent="0.3">
      <c r="A71" s="235">
        <v>6</v>
      </c>
      <c r="B71" s="236" t="s">
        <v>384</v>
      </c>
      <c r="C71" s="239">
        <v>8346</v>
      </c>
      <c r="D71" s="239">
        <v>12335</v>
      </c>
      <c r="E71" s="239">
        <f t="shared" si="8"/>
        <v>3989</v>
      </c>
      <c r="F71" s="238">
        <f t="shared" si="9"/>
        <v>0.47795351066379105</v>
      </c>
    </row>
    <row r="72" spans="1:6" ht="20.25" customHeight="1" x14ac:dyDescent="0.3">
      <c r="A72" s="235">
        <v>7</v>
      </c>
      <c r="B72" s="236" t="s">
        <v>450</v>
      </c>
      <c r="C72" s="239">
        <v>6656</v>
      </c>
      <c r="D72" s="239">
        <v>9593</v>
      </c>
      <c r="E72" s="239">
        <f t="shared" si="8"/>
        <v>2937</v>
      </c>
      <c r="F72" s="238">
        <f t="shared" si="9"/>
        <v>0.44125600961538464</v>
      </c>
    </row>
    <row r="73" spans="1:6" ht="20.25" customHeight="1" x14ac:dyDescent="0.3">
      <c r="A73" s="235">
        <v>8</v>
      </c>
      <c r="B73" s="236" t="s">
        <v>451</v>
      </c>
      <c r="C73" s="239">
        <v>1344</v>
      </c>
      <c r="D73" s="239">
        <v>1830</v>
      </c>
      <c r="E73" s="239">
        <f t="shared" si="8"/>
        <v>486</v>
      </c>
      <c r="F73" s="238">
        <f t="shared" si="9"/>
        <v>0.36160714285714285</v>
      </c>
    </row>
    <row r="74" spans="1:6" ht="20.25" customHeight="1" x14ac:dyDescent="0.3">
      <c r="A74" s="235">
        <v>9</v>
      </c>
      <c r="B74" s="236" t="s">
        <v>452</v>
      </c>
      <c r="C74" s="239">
        <v>1026</v>
      </c>
      <c r="D74" s="239">
        <v>1522</v>
      </c>
      <c r="E74" s="239">
        <f t="shared" si="8"/>
        <v>496</v>
      </c>
      <c r="F74" s="238">
        <f t="shared" si="9"/>
        <v>0.48343079922027288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92531399</v>
      </c>
      <c r="D75" s="243">
        <f>+D66+D68</f>
        <v>144782690</v>
      </c>
      <c r="E75" s="243">
        <f t="shared" si="8"/>
        <v>52251291</v>
      </c>
      <c r="F75" s="244">
        <f t="shared" si="9"/>
        <v>0.56468713933526504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25934263</v>
      </c>
      <c r="D76" s="243">
        <f>+D67+D69</f>
        <v>38333793</v>
      </c>
      <c r="E76" s="243">
        <f t="shared" si="8"/>
        <v>12399530</v>
      </c>
      <c r="F76" s="244">
        <f t="shared" si="9"/>
        <v>0.47811383728159151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463443</v>
      </c>
      <c r="D79" s="237">
        <v>243168</v>
      </c>
      <c r="E79" s="237">
        <f t="shared" ref="E79:E89" si="10">D79-C79</f>
        <v>-220275</v>
      </c>
      <c r="F79" s="238">
        <f t="shared" ref="F79:F89" si="11">IF(C79=0,0,E79/C79)</f>
        <v>-0.47530116972313746</v>
      </c>
    </row>
    <row r="80" spans="1:6" ht="20.25" customHeight="1" x14ac:dyDescent="0.3">
      <c r="A80" s="235">
        <v>2</v>
      </c>
      <c r="B80" s="236" t="s">
        <v>447</v>
      </c>
      <c r="C80" s="237">
        <v>124637</v>
      </c>
      <c r="D80" s="237">
        <v>25967</v>
      </c>
      <c r="E80" s="237">
        <f t="shared" si="10"/>
        <v>-98670</v>
      </c>
      <c r="F80" s="238">
        <f t="shared" si="11"/>
        <v>-0.791658977671157</v>
      </c>
    </row>
    <row r="81" spans="1:6" ht="20.25" customHeight="1" x14ac:dyDescent="0.3">
      <c r="A81" s="235">
        <v>3</v>
      </c>
      <c r="B81" s="236" t="s">
        <v>448</v>
      </c>
      <c r="C81" s="237">
        <v>159738</v>
      </c>
      <c r="D81" s="237">
        <v>40161</v>
      </c>
      <c r="E81" s="237">
        <f t="shared" si="10"/>
        <v>-119577</v>
      </c>
      <c r="F81" s="238">
        <f t="shared" si="11"/>
        <v>-0.7485820531119709</v>
      </c>
    </row>
    <row r="82" spans="1:6" ht="20.25" customHeight="1" x14ac:dyDescent="0.3">
      <c r="A82" s="235">
        <v>4</v>
      </c>
      <c r="B82" s="236" t="s">
        <v>449</v>
      </c>
      <c r="C82" s="237">
        <v>58158</v>
      </c>
      <c r="D82" s="237">
        <v>14433</v>
      </c>
      <c r="E82" s="237">
        <f t="shared" si="10"/>
        <v>-43725</v>
      </c>
      <c r="F82" s="238">
        <f t="shared" si="11"/>
        <v>-0.75183121840503453</v>
      </c>
    </row>
    <row r="83" spans="1:6" ht="20.25" customHeight="1" x14ac:dyDescent="0.3">
      <c r="A83" s="235">
        <v>5</v>
      </c>
      <c r="B83" s="236" t="s">
        <v>385</v>
      </c>
      <c r="C83" s="239">
        <v>11</v>
      </c>
      <c r="D83" s="239">
        <v>4</v>
      </c>
      <c r="E83" s="239">
        <f t="shared" si="10"/>
        <v>-7</v>
      </c>
      <c r="F83" s="238">
        <f t="shared" si="11"/>
        <v>-0.63636363636363635</v>
      </c>
    </row>
    <row r="84" spans="1:6" ht="20.25" customHeight="1" x14ac:dyDescent="0.3">
      <c r="A84" s="235">
        <v>6</v>
      </c>
      <c r="B84" s="236" t="s">
        <v>384</v>
      </c>
      <c r="C84" s="239">
        <v>44</v>
      </c>
      <c r="D84" s="239">
        <v>73</v>
      </c>
      <c r="E84" s="239">
        <f t="shared" si="10"/>
        <v>29</v>
      </c>
      <c r="F84" s="238">
        <f t="shared" si="11"/>
        <v>0.65909090909090906</v>
      </c>
    </row>
    <row r="85" spans="1:6" ht="20.25" customHeight="1" x14ac:dyDescent="0.3">
      <c r="A85" s="235">
        <v>7</v>
      </c>
      <c r="B85" s="236" t="s">
        <v>450</v>
      </c>
      <c r="C85" s="239">
        <v>31</v>
      </c>
      <c r="D85" s="239">
        <v>15</v>
      </c>
      <c r="E85" s="239">
        <f t="shared" si="10"/>
        <v>-16</v>
      </c>
      <c r="F85" s="238">
        <f t="shared" si="11"/>
        <v>-0.5161290322580645</v>
      </c>
    </row>
    <row r="86" spans="1:6" ht="20.25" customHeight="1" x14ac:dyDescent="0.3">
      <c r="A86" s="235">
        <v>8</v>
      </c>
      <c r="B86" s="236" t="s">
        <v>451</v>
      </c>
      <c r="C86" s="239">
        <v>3</v>
      </c>
      <c r="D86" s="239">
        <v>1</v>
      </c>
      <c r="E86" s="239">
        <f t="shared" si="10"/>
        <v>-2</v>
      </c>
      <c r="F86" s="238">
        <f t="shared" si="11"/>
        <v>-0.66666666666666663</v>
      </c>
    </row>
    <row r="87" spans="1:6" ht="20.25" customHeight="1" x14ac:dyDescent="0.3">
      <c r="A87" s="235">
        <v>9</v>
      </c>
      <c r="B87" s="236" t="s">
        <v>452</v>
      </c>
      <c r="C87" s="239">
        <v>5</v>
      </c>
      <c r="D87" s="239">
        <v>4</v>
      </c>
      <c r="E87" s="239">
        <f t="shared" si="10"/>
        <v>-1</v>
      </c>
      <c r="F87" s="238">
        <f t="shared" si="11"/>
        <v>-0.2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623181</v>
      </c>
      <c r="D88" s="243">
        <f>+D79+D81</f>
        <v>283329</v>
      </c>
      <c r="E88" s="243">
        <f t="shared" si="10"/>
        <v>-339852</v>
      </c>
      <c r="F88" s="244">
        <f t="shared" si="11"/>
        <v>-0.5453503877685616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182795</v>
      </c>
      <c r="D89" s="243">
        <f>+D80+D82</f>
        <v>40400</v>
      </c>
      <c r="E89" s="243">
        <f t="shared" si="10"/>
        <v>-142395</v>
      </c>
      <c r="F89" s="244">
        <f t="shared" si="11"/>
        <v>-0.77898739024590391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4670960</v>
      </c>
      <c r="D105" s="237">
        <v>8145465</v>
      </c>
      <c r="E105" s="237">
        <f t="shared" ref="E105:E115" si="14">D105-C105</f>
        <v>3474505</v>
      </c>
      <c r="F105" s="238">
        <f t="shared" ref="F105:F115" si="15">IF(C105=0,0,E105/C105)</f>
        <v>0.74385244146813501</v>
      </c>
    </row>
    <row r="106" spans="1:6" ht="20.25" customHeight="1" x14ac:dyDescent="0.3">
      <c r="A106" s="235">
        <v>2</v>
      </c>
      <c r="B106" s="236" t="s">
        <v>447</v>
      </c>
      <c r="C106" s="237">
        <v>1317379</v>
      </c>
      <c r="D106" s="237">
        <v>2200525</v>
      </c>
      <c r="E106" s="237">
        <f t="shared" si="14"/>
        <v>883146</v>
      </c>
      <c r="F106" s="238">
        <f t="shared" si="15"/>
        <v>0.67038111280049251</v>
      </c>
    </row>
    <row r="107" spans="1:6" ht="20.25" customHeight="1" x14ac:dyDescent="0.3">
      <c r="A107" s="235">
        <v>3</v>
      </c>
      <c r="B107" s="236" t="s">
        <v>448</v>
      </c>
      <c r="C107" s="237">
        <v>3138232</v>
      </c>
      <c r="D107" s="237">
        <v>4479780</v>
      </c>
      <c r="E107" s="237">
        <f t="shared" si="14"/>
        <v>1341548</v>
      </c>
      <c r="F107" s="238">
        <f t="shared" si="15"/>
        <v>0.42748528470807767</v>
      </c>
    </row>
    <row r="108" spans="1:6" ht="20.25" customHeight="1" x14ac:dyDescent="0.3">
      <c r="A108" s="235">
        <v>4</v>
      </c>
      <c r="B108" s="236" t="s">
        <v>449</v>
      </c>
      <c r="C108" s="237">
        <v>682041</v>
      </c>
      <c r="D108" s="237">
        <v>970465</v>
      </c>
      <c r="E108" s="237">
        <f t="shared" si="14"/>
        <v>288424</v>
      </c>
      <c r="F108" s="238">
        <f t="shared" si="15"/>
        <v>0.42288366828387147</v>
      </c>
    </row>
    <row r="109" spans="1:6" ht="20.25" customHeight="1" x14ac:dyDescent="0.3">
      <c r="A109" s="235">
        <v>5</v>
      </c>
      <c r="B109" s="236" t="s">
        <v>385</v>
      </c>
      <c r="C109" s="239">
        <v>103</v>
      </c>
      <c r="D109" s="239">
        <v>160</v>
      </c>
      <c r="E109" s="239">
        <f t="shared" si="14"/>
        <v>57</v>
      </c>
      <c r="F109" s="238">
        <f t="shared" si="15"/>
        <v>0.55339805825242716</v>
      </c>
    </row>
    <row r="110" spans="1:6" ht="20.25" customHeight="1" x14ac:dyDescent="0.3">
      <c r="A110" s="235">
        <v>6</v>
      </c>
      <c r="B110" s="236" t="s">
        <v>384</v>
      </c>
      <c r="C110" s="239">
        <v>646</v>
      </c>
      <c r="D110" s="239">
        <v>1140</v>
      </c>
      <c r="E110" s="239">
        <f t="shared" si="14"/>
        <v>494</v>
      </c>
      <c r="F110" s="238">
        <f t="shared" si="15"/>
        <v>0.76470588235294112</v>
      </c>
    </row>
    <row r="111" spans="1:6" ht="20.25" customHeight="1" x14ac:dyDescent="0.3">
      <c r="A111" s="235">
        <v>7</v>
      </c>
      <c r="B111" s="236" t="s">
        <v>450</v>
      </c>
      <c r="C111" s="239">
        <v>939</v>
      </c>
      <c r="D111" s="239">
        <v>1146</v>
      </c>
      <c r="E111" s="239">
        <f t="shared" si="14"/>
        <v>207</v>
      </c>
      <c r="F111" s="238">
        <f t="shared" si="15"/>
        <v>0.22044728434504793</v>
      </c>
    </row>
    <row r="112" spans="1:6" ht="20.25" customHeight="1" x14ac:dyDescent="0.3">
      <c r="A112" s="235">
        <v>8</v>
      </c>
      <c r="B112" s="236" t="s">
        <v>451</v>
      </c>
      <c r="C112" s="239">
        <v>307</v>
      </c>
      <c r="D112" s="239">
        <v>489</v>
      </c>
      <c r="E112" s="239">
        <f t="shared" si="14"/>
        <v>182</v>
      </c>
      <c r="F112" s="238">
        <f t="shared" si="15"/>
        <v>0.59283387622149841</v>
      </c>
    </row>
    <row r="113" spans="1:6" ht="20.25" customHeight="1" x14ac:dyDescent="0.3">
      <c r="A113" s="235">
        <v>9</v>
      </c>
      <c r="B113" s="236" t="s">
        <v>452</v>
      </c>
      <c r="C113" s="239">
        <v>90</v>
      </c>
      <c r="D113" s="239">
        <v>143</v>
      </c>
      <c r="E113" s="239">
        <f t="shared" si="14"/>
        <v>53</v>
      </c>
      <c r="F113" s="238">
        <f t="shared" si="15"/>
        <v>0.58888888888888891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7809192</v>
      </c>
      <c r="D114" s="243">
        <f>+D105+D107</f>
        <v>12625245</v>
      </c>
      <c r="E114" s="243">
        <f t="shared" si="14"/>
        <v>4816053</v>
      </c>
      <c r="F114" s="244">
        <f t="shared" si="15"/>
        <v>0.61671591632015199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1999420</v>
      </c>
      <c r="D115" s="243">
        <f>+D106+D108</f>
        <v>3170990</v>
      </c>
      <c r="E115" s="243">
        <f t="shared" si="14"/>
        <v>1171570</v>
      </c>
      <c r="F115" s="244">
        <f t="shared" si="15"/>
        <v>0.58595492692880935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447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448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449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385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384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450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451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452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471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99011240</v>
      </c>
      <c r="D198" s="243">
        <f t="shared" si="28"/>
        <v>117735695</v>
      </c>
      <c r="E198" s="243">
        <f t="shared" ref="E198:E208" si="29">D198-C198</f>
        <v>18724455</v>
      </c>
      <c r="F198" s="251">
        <f t="shared" ref="F198:F208" si="30">IF(C198=0,0,E198/C198)</f>
        <v>0.18911443791634161</v>
      </c>
    </row>
    <row r="199" spans="1:9" ht="20.25" customHeight="1" x14ac:dyDescent="0.3">
      <c r="A199" s="249"/>
      <c r="B199" s="250" t="s">
        <v>473</v>
      </c>
      <c r="C199" s="243">
        <f t="shared" si="28"/>
        <v>28656812</v>
      </c>
      <c r="D199" s="243">
        <f t="shared" si="28"/>
        <v>32890591</v>
      </c>
      <c r="E199" s="243">
        <f t="shared" si="29"/>
        <v>4233779</v>
      </c>
      <c r="F199" s="251">
        <f t="shared" si="30"/>
        <v>0.14774075357719485</v>
      </c>
    </row>
    <row r="200" spans="1:9" ht="20.25" customHeight="1" x14ac:dyDescent="0.3">
      <c r="A200" s="249"/>
      <c r="B200" s="250" t="s">
        <v>474</v>
      </c>
      <c r="C200" s="243">
        <f t="shared" si="28"/>
        <v>44340109</v>
      </c>
      <c r="D200" s="243">
        <f t="shared" si="28"/>
        <v>52260758</v>
      </c>
      <c r="E200" s="243">
        <f t="shared" si="29"/>
        <v>7920649</v>
      </c>
      <c r="F200" s="251">
        <f t="shared" si="30"/>
        <v>0.17863395419257991</v>
      </c>
    </row>
    <row r="201" spans="1:9" ht="20.25" customHeight="1" x14ac:dyDescent="0.3">
      <c r="A201" s="249"/>
      <c r="B201" s="250" t="s">
        <v>475</v>
      </c>
      <c r="C201" s="243">
        <f t="shared" si="28"/>
        <v>10039772</v>
      </c>
      <c r="D201" s="243">
        <f t="shared" si="28"/>
        <v>11707578</v>
      </c>
      <c r="E201" s="243">
        <f t="shared" si="29"/>
        <v>1667806</v>
      </c>
      <c r="F201" s="251">
        <f t="shared" si="30"/>
        <v>0.166119907902291</v>
      </c>
    </row>
    <row r="202" spans="1:9" ht="20.25" customHeight="1" x14ac:dyDescent="0.3">
      <c r="A202" s="249"/>
      <c r="B202" s="250" t="s">
        <v>476</v>
      </c>
      <c r="C202" s="252">
        <f t="shared" si="28"/>
        <v>2029</v>
      </c>
      <c r="D202" s="252">
        <f t="shared" si="28"/>
        <v>2193</v>
      </c>
      <c r="E202" s="252">
        <f t="shared" si="29"/>
        <v>164</v>
      </c>
      <c r="F202" s="251">
        <f t="shared" si="30"/>
        <v>8.0827994085756527E-2</v>
      </c>
    </row>
    <row r="203" spans="1:9" ht="20.25" customHeight="1" x14ac:dyDescent="0.3">
      <c r="A203" s="249"/>
      <c r="B203" s="250" t="s">
        <v>477</v>
      </c>
      <c r="C203" s="252">
        <f t="shared" si="28"/>
        <v>13621</v>
      </c>
      <c r="D203" s="252">
        <f t="shared" si="28"/>
        <v>14559</v>
      </c>
      <c r="E203" s="252">
        <f t="shared" si="29"/>
        <v>938</v>
      </c>
      <c r="F203" s="251">
        <f t="shared" si="30"/>
        <v>6.886425372586448E-2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9925</v>
      </c>
      <c r="D204" s="252">
        <f t="shared" si="28"/>
        <v>11711</v>
      </c>
      <c r="E204" s="252">
        <f t="shared" si="29"/>
        <v>1786</v>
      </c>
      <c r="F204" s="251">
        <f t="shared" si="30"/>
        <v>0.17994962216624685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2048</v>
      </c>
      <c r="D205" s="252">
        <f t="shared" si="28"/>
        <v>2414</v>
      </c>
      <c r="E205" s="252">
        <f t="shared" si="29"/>
        <v>366</v>
      </c>
      <c r="F205" s="251">
        <f t="shared" si="30"/>
        <v>0.1787109375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1590</v>
      </c>
      <c r="D206" s="252">
        <f t="shared" si="28"/>
        <v>1771</v>
      </c>
      <c r="E206" s="252">
        <f t="shared" si="29"/>
        <v>181</v>
      </c>
      <c r="F206" s="251">
        <f t="shared" si="30"/>
        <v>0.11383647798742139</v>
      </c>
    </row>
    <row r="207" spans="1:9" ht="20.25" customHeight="1" x14ac:dyDescent="0.3">
      <c r="A207" s="249"/>
      <c r="B207" s="242" t="s">
        <v>481</v>
      </c>
      <c r="C207" s="243">
        <f>+C198+C200</f>
        <v>143351349</v>
      </c>
      <c r="D207" s="243">
        <f>+D198+D200</f>
        <v>169996453</v>
      </c>
      <c r="E207" s="243">
        <f t="shared" si="29"/>
        <v>26645104</v>
      </c>
      <c r="F207" s="251">
        <f t="shared" si="30"/>
        <v>0.18587271194776131</v>
      </c>
    </row>
    <row r="208" spans="1:9" ht="20.25" customHeight="1" x14ac:dyDescent="0.3">
      <c r="A208" s="249"/>
      <c r="B208" s="242" t="s">
        <v>482</v>
      </c>
      <c r="C208" s="243">
        <f>+C199+C201</f>
        <v>38696584</v>
      </c>
      <c r="D208" s="243">
        <f>+D199+D201</f>
        <v>44598169</v>
      </c>
      <c r="E208" s="243">
        <f t="shared" si="29"/>
        <v>5901585</v>
      </c>
      <c r="F208" s="251">
        <f t="shared" si="30"/>
        <v>0.1525091982279366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FILING&amp;RBRIDGEPORT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483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32612785</v>
      </c>
      <c r="D26" s="237">
        <v>7682497</v>
      </c>
      <c r="E26" s="237">
        <f t="shared" ref="E26:E36" si="2">D26-C26</f>
        <v>-24930288</v>
      </c>
      <c r="F26" s="238">
        <f t="shared" ref="F26:F36" si="3">IF(C26=0,0,E26/C26)</f>
        <v>-0.76443296700971719</v>
      </c>
    </row>
    <row r="27" spans="1:6" ht="20.25" customHeight="1" x14ac:dyDescent="0.3">
      <c r="A27" s="235">
        <v>2</v>
      </c>
      <c r="B27" s="236" t="s">
        <v>447</v>
      </c>
      <c r="C27" s="237">
        <v>6977538</v>
      </c>
      <c r="D27" s="237">
        <v>1392750</v>
      </c>
      <c r="E27" s="237">
        <f t="shared" si="2"/>
        <v>-5584788</v>
      </c>
      <c r="F27" s="238">
        <f t="shared" si="3"/>
        <v>-0.80039521103288869</v>
      </c>
    </row>
    <row r="28" spans="1:6" ht="20.25" customHeight="1" x14ac:dyDescent="0.3">
      <c r="A28" s="235">
        <v>3</v>
      </c>
      <c r="B28" s="236" t="s">
        <v>448</v>
      </c>
      <c r="C28" s="237">
        <v>53369672</v>
      </c>
      <c r="D28" s="237">
        <v>14475984</v>
      </c>
      <c r="E28" s="237">
        <f t="shared" si="2"/>
        <v>-38893688</v>
      </c>
      <c r="F28" s="238">
        <f t="shared" si="3"/>
        <v>-0.72876010929952872</v>
      </c>
    </row>
    <row r="29" spans="1:6" ht="20.25" customHeight="1" x14ac:dyDescent="0.3">
      <c r="A29" s="235">
        <v>4</v>
      </c>
      <c r="B29" s="236" t="s">
        <v>449</v>
      </c>
      <c r="C29" s="237">
        <v>9935120</v>
      </c>
      <c r="D29" s="237">
        <v>2680602</v>
      </c>
      <c r="E29" s="237">
        <f t="shared" si="2"/>
        <v>-7254518</v>
      </c>
      <c r="F29" s="238">
        <f t="shared" si="3"/>
        <v>-0.73018926797059325</v>
      </c>
    </row>
    <row r="30" spans="1:6" ht="20.25" customHeight="1" x14ac:dyDescent="0.3">
      <c r="A30" s="235">
        <v>5</v>
      </c>
      <c r="B30" s="236" t="s">
        <v>385</v>
      </c>
      <c r="C30" s="239">
        <v>1615</v>
      </c>
      <c r="D30" s="239">
        <v>362</v>
      </c>
      <c r="E30" s="239">
        <f t="shared" si="2"/>
        <v>-1253</v>
      </c>
      <c r="F30" s="238">
        <f t="shared" si="3"/>
        <v>-0.77585139318885454</v>
      </c>
    </row>
    <row r="31" spans="1:6" ht="20.25" customHeight="1" x14ac:dyDescent="0.3">
      <c r="A31" s="235">
        <v>6</v>
      </c>
      <c r="B31" s="236" t="s">
        <v>384</v>
      </c>
      <c r="C31" s="239">
        <v>5098</v>
      </c>
      <c r="D31" s="239">
        <v>1108</v>
      </c>
      <c r="E31" s="239">
        <f t="shared" si="2"/>
        <v>-3990</v>
      </c>
      <c r="F31" s="238">
        <f t="shared" si="3"/>
        <v>-0.7826598666143586</v>
      </c>
    </row>
    <row r="32" spans="1:6" ht="20.25" customHeight="1" x14ac:dyDescent="0.3">
      <c r="A32" s="235">
        <v>7</v>
      </c>
      <c r="B32" s="236" t="s">
        <v>450</v>
      </c>
      <c r="C32" s="239">
        <v>18610</v>
      </c>
      <c r="D32" s="239">
        <v>4524</v>
      </c>
      <c r="E32" s="239">
        <f t="shared" si="2"/>
        <v>-14086</v>
      </c>
      <c r="F32" s="238">
        <f t="shared" si="3"/>
        <v>-0.75690488984416981</v>
      </c>
    </row>
    <row r="33" spans="1:6" ht="20.25" customHeight="1" x14ac:dyDescent="0.3">
      <c r="A33" s="235">
        <v>8</v>
      </c>
      <c r="B33" s="236" t="s">
        <v>451</v>
      </c>
      <c r="C33" s="239">
        <v>12753</v>
      </c>
      <c r="D33" s="239">
        <v>3069</v>
      </c>
      <c r="E33" s="239">
        <f t="shared" si="2"/>
        <v>-9684</v>
      </c>
      <c r="F33" s="238">
        <f t="shared" si="3"/>
        <v>-0.75935074100211719</v>
      </c>
    </row>
    <row r="34" spans="1:6" ht="20.25" customHeight="1" x14ac:dyDescent="0.3">
      <c r="A34" s="235">
        <v>9</v>
      </c>
      <c r="B34" s="236" t="s">
        <v>452</v>
      </c>
      <c r="C34" s="239">
        <v>593</v>
      </c>
      <c r="D34" s="239">
        <v>153</v>
      </c>
      <c r="E34" s="239">
        <f t="shared" si="2"/>
        <v>-440</v>
      </c>
      <c r="F34" s="238">
        <f t="shared" si="3"/>
        <v>-0.74198988195615512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85982457</v>
      </c>
      <c r="D35" s="243">
        <f>+D26+D28</f>
        <v>22158481</v>
      </c>
      <c r="E35" s="243">
        <f t="shared" si="2"/>
        <v>-63823976</v>
      </c>
      <c r="F35" s="244">
        <f t="shared" si="3"/>
        <v>-0.74229067448026054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16912658</v>
      </c>
      <c r="D36" s="243">
        <f>+D27+D29</f>
        <v>4073352</v>
      </c>
      <c r="E36" s="243">
        <f t="shared" si="2"/>
        <v>-12839306</v>
      </c>
      <c r="F36" s="244">
        <f t="shared" si="3"/>
        <v>-0.75915364693119203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12027156</v>
      </c>
      <c r="D38" s="237">
        <v>2608081</v>
      </c>
      <c r="E38" s="237">
        <f t="shared" ref="E38:E48" si="4">D38-C38</f>
        <v>-9419075</v>
      </c>
      <c r="F38" s="238">
        <f t="shared" ref="F38:F48" si="5">IF(C38=0,0,E38/C38)</f>
        <v>-0.78315064675306445</v>
      </c>
    </row>
    <row r="39" spans="1:6" ht="20.25" customHeight="1" x14ac:dyDescent="0.3">
      <c r="A39" s="235">
        <v>2</v>
      </c>
      <c r="B39" s="236" t="s">
        <v>447</v>
      </c>
      <c r="C39" s="237">
        <v>2321874</v>
      </c>
      <c r="D39" s="237">
        <v>448477</v>
      </c>
      <c r="E39" s="237">
        <f t="shared" si="4"/>
        <v>-1873397</v>
      </c>
      <c r="F39" s="238">
        <f t="shared" si="5"/>
        <v>-0.80684696930152111</v>
      </c>
    </row>
    <row r="40" spans="1:6" ht="20.25" customHeight="1" x14ac:dyDescent="0.3">
      <c r="A40" s="235">
        <v>3</v>
      </c>
      <c r="B40" s="236" t="s">
        <v>448</v>
      </c>
      <c r="C40" s="237">
        <v>15208131</v>
      </c>
      <c r="D40" s="237">
        <v>4148451</v>
      </c>
      <c r="E40" s="237">
        <f t="shared" si="4"/>
        <v>-11059680</v>
      </c>
      <c r="F40" s="238">
        <f t="shared" si="5"/>
        <v>-0.72722151065111151</v>
      </c>
    </row>
    <row r="41" spans="1:6" ht="20.25" customHeight="1" x14ac:dyDescent="0.3">
      <c r="A41" s="235">
        <v>4</v>
      </c>
      <c r="B41" s="236" t="s">
        <v>449</v>
      </c>
      <c r="C41" s="237">
        <v>2882658</v>
      </c>
      <c r="D41" s="237">
        <v>794934</v>
      </c>
      <c r="E41" s="237">
        <f t="shared" si="4"/>
        <v>-2087724</v>
      </c>
      <c r="F41" s="238">
        <f t="shared" si="5"/>
        <v>-0.72423575741555191</v>
      </c>
    </row>
    <row r="42" spans="1:6" ht="20.25" customHeight="1" x14ac:dyDescent="0.3">
      <c r="A42" s="235">
        <v>5</v>
      </c>
      <c r="B42" s="236" t="s">
        <v>385</v>
      </c>
      <c r="C42" s="239">
        <v>501</v>
      </c>
      <c r="D42" s="239">
        <v>117</v>
      </c>
      <c r="E42" s="239">
        <f t="shared" si="4"/>
        <v>-384</v>
      </c>
      <c r="F42" s="238">
        <f t="shared" si="5"/>
        <v>-0.76646706586826352</v>
      </c>
    </row>
    <row r="43" spans="1:6" ht="20.25" customHeight="1" x14ac:dyDescent="0.3">
      <c r="A43" s="235">
        <v>6</v>
      </c>
      <c r="B43" s="236" t="s">
        <v>384</v>
      </c>
      <c r="C43" s="239">
        <v>1701</v>
      </c>
      <c r="D43" s="239">
        <v>356</v>
      </c>
      <c r="E43" s="239">
        <f t="shared" si="4"/>
        <v>-1345</v>
      </c>
      <c r="F43" s="238">
        <f t="shared" si="5"/>
        <v>-0.79071134626690187</v>
      </c>
    </row>
    <row r="44" spans="1:6" ht="20.25" customHeight="1" x14ac:dyDescent="0.3">
      <c r="A44" s="235">
        <v>7</v>
      </c>
      <c r="B44" s="236" t="s">
        <v>450</v>
      </c>
      <c r="C44" s="239">
        <v>5528</v>
      </c>
      <c r="D44" s="239">
        <v>1455</v>
      </c>
      <c r="E44" s="239">
        <f t="shared" si="4"/>
        <v>-4073</v>
      </c>
      <c r="F44" s="238">
        <f t="shared" si="5"/>
        <v>-0.73679450072358899</v>
      </c>
    </row>
    <row r="45" spans="1:6" ht="20.25" customHeight="1" x14ac:dyDescent="0.3">
      <c r="A45" s="235">
        <v>8</v>
      </c>
      <c r="B45" s="236" t="s">
        <v>451</v>
      </c>
      <c r="C45" s="239">
        <v>3408</v>
      </c>
      <c r="D45" s="239">
        <v>835</v>
      </c>
      <c r="E45" s="239">
        <f t="shared" si="4"/>
        <v>-2573</v>
      </c>
      <c r="F45" s="238">
        <f t="shared" si="5"/>
        <v>-0.75498826291079812</v>
      </c>
    </row>
    <row r="46" spans="1:6" ht="20.25" customHeight="1" x14ac:dyDescent="0.3">
      <c r="A46" s="235">
        <v>9</v>
      </c>
      <c r="B46" s="236" t="s">
        <v>452</v>
      </c>
      <c r="C46" s="239">
        <v>156</v>
      </c>
      <c r="D46" s="239">
        <v>34</v>
      </c>
      <c r="E46" s="239">
        <f t="shared" si="4"/>
        <v>-122</v>
      </c>
      <c r="F46" s="238">
        <f t="shared" si="5"/>
        <v>-0.78205128205128205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27235287</v>
      </c>
      <c r="D47" s="243">
        <f>+D38+D40</f>
        <v>6756532</v>
      </c>
      <c r="E47" s="243">
        <f t="shared" si="4"/>
        <v>-20478755</v>
      </c>
      <c r="F47" s="244">
        <f t="shared" si="5"/>
        <v>-0.75191992652766981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5204532</v>
      </c>
      <c r="D48" s="243">
        <f>+D39+D41</f>
        <v>1243411</v>
      </c>
      <c r="E48" s="243">
        <f t="shared" si="4"/>
        <v>-3961121</v>
      </c>
      <c r="F48" s="244">
        <f t="shared" si="5"/>
        <v>-0.76109071862753463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348980</v>
      </c>
      <c r="D50" s="237">
        <v>452586</v>
      </c>
      <c r="E50" s="237">
        <f t="shared" ref="E50:E60" si="6">D50-C50</f>
        <v>103606</v>
      </c>
      <c r="F50" s="238">
        <f t="shared" ref="F50:F60" si="7">IF(C50=0,0,E50/C50)</f>
        <v>0.29688234282766923</v>
      </c>
    </row>
    <row r="51" spans="1:6" ht="20.25" customHeight="1" x14ac:dyDescent="0.3">
      <c r="A51" s="235">
        <v>2</v>
      </c>
      <c r="B51" s="236" t="s">
        <v>447</v>
      </c>
      <c r="C51" s="237">
        <v>78980</v>
      </c>
      <c r="D51" s="237">
        <v>83226</v>
      </c>
      <c r="E51" s="237">
        <f t="shared" si="6"/>
        <v>4246</v>
      </c>
      <c r="F51" s="238">
        <f t="shared" si="7"/>
        <v>5.3760445682451252E-2</v>
      </c>
    </row>
    <row r="52" spans="1:6" ht="20.25" customHeight="1" x14ac:dyDescent="0.3">
      <c r="A52" s="235">
        <v>3</v>
      </c>
      <c r="B52" s="236" t="s">
        <v>448</v>
      </c>
      <c r="C52" s="237">
        <v>239922</v>
      </c>
      <c r="D52" s="237">
        <v>379576</v>
      </c>
      <c r="E52" s="237">
        <f t="shared" si="6"/>
        <v>139654</v>
      </c>
      <c r="F52" s="238">
        <f t="shared" si="7"/>
        <v>0.58208084294062234</v>
      </c>
    </row>
    <row r="53" spans="1:6" ht="20.25" customHeight="1" x14ac:dyDescent="0.3">
      <c r="A53" s="235">
        <v>4</v>
      </c>
      <c r="B53" s="236" t="s">
        <v>449</v>
      </c>
      <c r="C53" s="237">
        <v>37623</v>
      </c>
      <c r="D53" s="237">
        <v>56369</v>
      </c>
      <c r="E53" s="237">
        <f t="shared" si="6"/>
        <v>18746</v>
      </c>
      <c r="F53" s="238">
        <f t="shared" si="7"/>
        <v>0.49825904367009544</v>
      </c>
    </row>
    <row r="54" spans="1:6" ht="20.25" customHeight="1" x14ac:dyDescent="0.3">
      <c r="A54" s="235">
        <v>5</v>
      </c>
      <c r="B54" s="236" t="s">
        <v>385</v>
      </c>
      <c r="C54" s="239">
        <v>18</v>
      </c>
      <c r="D54" s="239">
        <v>21</v>
      </c>
      <c r="E54" s="239">
        <f t="shared" si="6"/>
        <v>3</v>
      </c>
      <c r="F54" s="238">
        <f t="shared" si="7"/>
        <v>0.16666666666666666</v>
      </c>
    </row>
    <row r="55" spans="1:6" ht="20.25" customHeight="1" x14ac:dyDescent="0.3">
      <c r="A55" s="235">
        <v>6</v>
      </c>
      <c r="B55" s="236" t="s">
        <v>384</v>
      </c>
      <c r="C55" s="239">
        <v>56</v>
      </c>
      <c r="D55" s="239">
        <v>66</v>
      </c>
      <c r="E55" s="239">
        <f t="shared" si="6"/>
        <v>10</v>
      </c>
      <c r="F55" s="238">
        <f t="shared" si="7"/>
        <v>0.17857142857142858</v>
      </c>
    </row>
    <row r="56" spans="1:6" ht="20.25" customHeight="1" x14ac:dyDescent="0.3">
      <c r="A56" s="235">
        <v>7</v>
      </c>
      <c r="B56" s="236" t="s">
        <v>450</v>
      </c>
      <c r="C56" s="239">
        <v>12</v>
      </c>
      <c r="D56" s="239">
        <v>8</v>
      </c>
      <c r="E56" s="239">
        <f t="shared" si="6"/>
        <v>-4</v>
      </c>
      <c r="F56" s="238">
        <f t="shared" si="7"/>
        <v>-0.33333333333333331</v>
      </c>
    </row>
    <row r="57" spans="1:6" ht="20.25" customHeight="1" x14ac:dyDescent="0.3">
      <c r="A57" s="235">
        <v>8</v>
      </c>
      <c r="B57" s="236" t="s">
        <v>451</v>
      </c>
      <c r="C57" s="239">
        <v>116</v>
      </c>
      <c r="D57" s="239">
        <v>152</v>
      </c>
      <c r="E57" s="239">
        <f t="shared" si="6"/>
        <v>36</v>
      </c>
      <c r="F57" s="238">
        <f t="shared" si="7"/>
        <v>0.31034482758620691</v>
      </c>
    </row>
    <row r="58" spans="1:6" ht="20.25" customHeight="1" x14ac:dyDescent="0.3">
      <c r="A58" s="235">
        <v>9</v>
      </c>
      <c r="B58" s="236" t="s">
        <v>452</v>
      </c>
      <c r="C58" s="239">
        <v>12</v>
      </c>
      <c r="D58" s="239">
        <v>18</v>
      </c>
      <c r="E58" s="239">
        <f t="shared" si="6"/>
        <v>6</v>
      </c>
      <c r="F58" s="238">
        <f t="shared" si="7"/>
        <v>0.5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588902</v>
      </c>
      <c r="D59" s="243">
        <f>+D50+D52</f>
        <v>832162</v>
      </c>
      <c r="E59" s="243">
        <f t="shared" si="6"/>
        <v>243260</v>
      </c>
      <c r="F59" s="244">
        <f t="shared" si="7"/>
        <v>0.41307382212999788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116603</v>
      </c>
      <c r="D60" s="243">
        <f>+D51+D53</f>
        <v>139595</v>
      </c>
      <c r="E60" s="243">
        <f t="shared" si="6"/>
        <v>22992</v>
      </c>
      <c r="F60" s="244">
        <f t="shared" si="7"/>
        <v>0.19718189068891881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447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448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449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385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384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450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451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14952962</v>
      </c>
      <c r="D98" s="237">
        <v>3452748</v>
      </c>
      <c r="E98" s="237">
        <f t="shared" ref="E98:E108" si="14">D98-C98</f>
        <v>-11500214</v>
      </c>
      <c r="F98" s="238">
        <f t="shared" ref="F98:F108" si="15">IF(C98=0,0,E98/C98)</f>
        <v>-0.76909270551212527</v>
      </c>
    </row>
    <row r="99" spans="1:7" ht="20.25" customHeight="1" x14ac:dyDescent="0.3">
      <c r="A99" s="235">
        <v>2</v>
      </c>
      <c r="B99" s="236" t="s">
        <v>447</v>
      </c>
      <c r="C99" s="237">
        <v>3241088</v>
      </c>
      <c r="D99" s="237">
        <v>668979</v>
      </c>
      <c r="E99" s="237">
        <f t="shared" si="14"/>
        <v>-2572109</v>
      </c>
      <c r="F99" s="238">
        <f t="shared" si="15"/>
        <v>-0.79359431153982862</v>
      </c>
    </row>
    <row r="100" spans="1:7" ht="20.25" customHeight="1" x14ac:dyDescent="0.3">
      <c r="A100" s="235">
        <v>3</v>
      </c>
      <c r="B100" s="236" t="s">
        <v>448</v>
      </c>
      <c r="C100" s="237">
        <v>21645359</v>
      </c>
      <c r="D100" s="237">
        <v>5549952</v>
      </c>
      <c r="E100" s="237">
        <f t="shared" si="14"/>
        <v>-16095407</v>
      </c>
      <c r="F100" s="238">
        <f t="shared" si="15"/>
        <v>-0.74359621385813002</v>
      </c>
    </row>
    <row r="101" spans="1:7" ht="20.25" customHeight="1" x14ac:dyDescent="0.3">
      <c r="A101" s="235">
        <v>4</v>
      </c>
      <c r="B101" s="236" t="s">
        <v>449</v>
      </c>
      <c r="C101" s="237">
        <v>4008017</v>
      </c>
      <c r="D101" s="237">
        <v>994247</v>
      </c>
      <c r="E101" s="237">
        <f t="shared" si="14"/>
        <v>-3013770</v>
      </c>
      <c r="F101" s="238">
        <f t="shared" si="15"/>
        <v>-0.75193543340759283</v>
      </c>
    </row>
    <row r="102" spans="1:7" ht="20.25" customHeight="1" x14ac:dyDescent="0.3">
      <c r="A102" s="235">
        <v>5</v>
      </c>
      <c r="B102" s="236" t="s">
        <v>385</v>
      </c>
      <c r="C102" s="239">
        <v>773</v>
      </c>
      <c r="D102" s="239">
        <v>172</v>
      </c>
      <c r="E102" s="239">
        <f t="shared" si="14"/>
        <v>-601</v>
      </c>
      <c r="F102" s="238">
        <f t="shared" si="15"/>
        <v>-0.77749029754204402</v>
      </c>
    </row>
    <row r="103" spans="1:7" ht="20.25" customHeight="1" x14ac:dyDescent="0.3">
      <c r="A103" s="235">
        <v>6</v>
      </c>
      <c r="B103" s="236" t="s">
        <v>384</v>
      </c>
      <c r="C103" s="239">
        <v>2271</v>
      </c>
      <c r="D103" s="239">
        <v>506</v>
      </c>
      <c r="E103" s="239">
        <f t="shared" si="14"/>
        <v>-1765</v>
      </c>
      <c r="F103" s="238">
        <f t="shared" si="15"/>
        <v>-0.77719066490532807</v>
      </c>
    </row>
    <row r="104" spans="1:7" ht="20.25" customHeight="1" x14ac:dyDescent="0.3">
      <c r="A104" s="235">
        <v>7</v>
      </c>
      <c r="B104" s="236" t="s">
        <v>450</v>
      </c>
      <c r="C104" s="239">
        <v>7833</v>
      </c>
      <c r="D104" s="239">
        <v>1955</v>
      </c>
      <c r="E104" s="239">
        <f t="shared" si="14"/>
        <v>-5878</v>
      </c>
      <c r="F104" s="238">
        <f t="shared" si="15"/>
        <v>-0.75041491127282012</v>
      </c>
    </row>
    <row r="105" spans="1:7" ht="20.25" customHeight="1" x14ac:dyDescent="0.3">
      <c r="A105" s="235">
        <v>8</v>
      </c>
      <c r="B105" s="236" t="s">
        <v>451</v>
      </c>
      <c r="C105" s="239">
        <v>4900</v>
      </c>
      <c r="D105" s="239">
        <v>1180</v>
      </c>
      <c r="E105" s="239">
        <f t="shared" si="14"/>
        <v>-3720</v>
      </c>
      <c r="F105" s="238">
        <f t="shared" si="15"/>
        <v>-0.75918367346938775</v>
      </c>
    </row>
    <row r="106" spans="1:7" ht="20.25" customHeight="1" x14ac:dyDescent="0.3">
      <c r="A106" s="235">
        <v>9</v>
      </c>
      <c r="B106" s="236" t="s">
        <v>452</v>
      </c>
      <c r="C106" s="239">
        <v>273</v>
      </c>
      <c r="D106" s="239">
        <v>72</v>
      </c>
      <c r="E106" s="239">
        <f t="shared" si="14"/>
        <v>-201</v>
      </c>
      <c r="F106" s="238">
        <f t="shared" si="15"/>
        <v>-0.73626373626373631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36598321</v>
      </c>
      <c r="D107" s="243">
        <f>+D98+D100</f>
        <v>9002700</v>
      </c>
      <c r="E107" s="243">
        <f t="shared" si="14"/>
        <v>-27595621</v>
      </c>
      <c r="F107" s="244">
        <f t="shared" si="15"/>
        <v>-0.75401330569235681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7249105</v>
      </c>
      <c r="D108" s="243">
        <f>+D99+D101</f>
        <v>1663226</v>
      </c>
      <c r="E108" s="243">
        <f t="shared" si="14"/>
        <v>-5585879</v>
      </c>
      <c r="F108" s="244">
        <f t="shared" si="15"/>
        <v>-0.7705611934162907</v>
      </c>
    </row>
    <row r="109" spans="1:7" s="240" customFormat="1" ht="20.25" customHeight="1" x14ac:dyDescent="0.3">
      <c r="A109" s="674" t="s">
        <v>44</v>
      </c>
      <c r="B109" s="676" t="s">
        <v>490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59941883</v>
      </c>
      <c r="D112" s="243">
        <f t="shared" si="16"/>
        <v>14195912</v>
      </c>
      <c r="E112" s="243">
        <f t="shared" ref="E112:E122" si="17">D112-C112</f>
        <v>-45745971</v>
      </c>
      <c r="F112" s="244">
        <f t="shared" ref="F112:F122" si="18">IF(C112=0,0,E112/C112)</f>
        <v>-0.76317207118768693</v>
      </c>
    </row>
    <row r="113" spans="1:6" ht="20.25" customHeight="1" x14ac:dyDescent="0.3">
      <c r="A113" s="249"/>
      <c r="B113" s="250" t="s">
        <v>473</v>
      </c>
      <c r="C113" s="243">
        <f t="shared" si="16"/>
        <v>12619480</v>
      </c>
      <c r="D113" s="243">
        <f t="shared" si="16"/>
        <v>2593432</v>
      </c>
      <c r="E113" s="243">
        <f t="shared" si="17"/>
        <v>-10026048</v>
      </c>
      <c r="F113" s="244">
        <f t="shared" si="18"/>
        <v>-0.79448978880270815</v>
      </c>
    </row>
    <row r="114" spans="1:6" ht="20.25" customHeight="1" x14ac:dyDescent="0.3">
      <c r="A114" s="249"/>
      <c r="B114" s="250" t="s">
        <v>474</v>
      </c>
      <c r="C114" s="243">
        <f t="shared" si="16"/>
        <v>90463084</v>
      </c>
      <c r="D114" s="243">
        <f t="shared" si="16"/>
        <v>24553963</v>
      </c>
      <c r="E114" s="243">
        <f t="shared" si="17"/>
        <v>-65909121</v>
      </c>
      <c r="F114" s="244">
        <f t="shared" si="18"/>
        <v>-0.72857477421397665</v>
      </c>
    </row>
    <row r="115" spans="1:6" ht="20.25" customHeight="1" x14ac:dyDescent="0.3">
      <c r="A115" s="249"/>
      <c r="B115" s="250" t="s">
        <v>475</v>
      </c>
      <c r="C115" s="243">
        <f t="shared" si="16"/>
        <v>16863418</v>
      </c>
      <c r="D115" s="243">
        <f t="shared" si="16"/>
        <v>4526152</v>
      </c>
      <c r="E115" s="243">
        <f t="shared" si="17"/>
        <v>-12337266</v>
      </c>
      <c r="F115" s="244">
        <f t="shared" si="18"/>
        <v>-0.73159937089859239</v>
      </c>
    </row>
    <row r="116" spans="1:6" ht="20.25" customHeight="1" x14ac:dyDescent="0.3">
      <c r="A116" s="249"/>
      <c r="B116" s="250" t="s">
        <v>476</v>
      </c>
      <c r="C116" s="252">
        <f t="shared" si="16"/>
        <v>2907</v>
      </c>
      <c r="D116" s="252">
        <f t="shared" si="16"/>
        <v>672</v>
      </c>
      <c r="E116" s="252">
        <f t="shared" si="17"/>
        <v>-2235</v>
      </c>
      <c r="F116" s="244">
        <f t="shared" si="18"/>
        <v>-0.7688338493292054</v>
      </c>
    </row>
    <row r="117" spans="1:6" ht="20.25" customHeight="1" x14ac:dyDescent="0.3">
      <c r="A117" s="249"/>
      <c r="B117" s="250" t="s">
        <v>477</v>
      </c>
      <c r="C117" s="252">
        <f t="shared" si="16"/>
        <v>9126</v>
      </c>
      <c r="D117" s="252">
        <f t="shared" si="16"/>
        <v>2036</v>
      </c>
      <c r="E117" s="252">
        <f t="shared" si="17"/>
        <v>-7090</v>
      </c>
      <c r="F117" s="244">
        <f t="shared" si="18"/>
        <v>-0.77690116151654609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31983</v>
      </c>
      <c r="D118" s="252">
        <f t="shared" si="16"/>
        <v>7942</v>
      </c>
      <c r="E118" s="252">
        <f t="shared" si="17"/>
        <v>-24041</v>
      </c>
      <c r="F118" s="244">
        <f t="shared" si="18"/>
        <v>-0.75168058030828877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21177</v>
      </c>
      <c r="D119" s="252">
        <f t="shared" si="16"/>
        <v>5236</v>
      </c>
      <c r="E119" s="252">
        <f t="shared" si="17"/>
        <v>-15941</v>
      </c>
      <c r="F119" s="244">
        <f t="shared" si="18"/>
        <v>-0.75275062567880247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1034</v>
      </c>
      <c r="D120" s="252">
        <f t="shared" si="16"/>
        <v>277</v>
      </c>
      <c r="E120" s="252">
        <f t="shared" si="17"/>
        <v>-757</v>
      </c>
      <c r="F120" s="244">
        <f t="shared" si="18"/>
        <v>-0.73210831721470015</v>
      </c>
    </row>
    <row r="121" spans="1:6" ht="39.950000000000003" customHeight="1" x14ac:dyDescent="0.3">
      <c r="A121" s="249"/>
      <c r="B121" s="242" t="s">
        <v>453</v>
      </c>
      <c r="C121" s="243">
        <f>+C112+C114</f>
        <v>150404967</v>
      </c>
      <c r="D121" s="243">
        <f>+D112+D114</f>
        <v>38749875</v>
      </c>
      <c r="E121" s="243">
        <f t="shared" si="17"/>
        <v>-111655092</v>
      </c>
      <c r="F121" s="244">
        <f t="shared" si="18"/>
        <v>-0.74236306304963984</v>
      </c>
    </row>
    <row r="122" spans="1:6" ht="39.950000000000003" customHeight="1" x14ac:dyDescent="0.3">
      <c r="A122" s="249"/>
      <c r="B122" s="242" t="s">
        <v>482</v>
      </c>
      <c r="C122" s="243">
        <f>+C113+C115</f>
        <v>29482898</v>
      </c>
      <c r="D122" s="243">
        <f>+D113+D115</f>
        <v>7119584</v>
      </c>
      <c r="E122" s="243">
        <f t="shared" si="17"/>
        <v>-22363314</v>
      </c>
      <c r="F122" s="244">
        <f t="shared" si="18"/>
        <v>-0.7585181755199234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FILING&amp;RBRIDGEPORT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37449000</v>
      </c>
      <c r="D13" s="23">
        <v>16072000</v>
      </c>
      <c r="E13" s="23">
        <f t="shared" ref="E13:E22" si="0">D13-C13</f>
        <v>-21377000</v>
      </c>
      <c r="F13" s="24">
        <f t="shared" ref="F13:F22" si="1">IF(C13=0,0,E13/C13)</f>
        <v>-0.57082966167320892</v>
      </c>
    </row>
    <row r="14" spans="1:8" ht="24" customHeight="1" x14ac:dyDescent="0.2">
      <c r="A14" s="21">
        <v>2</v>
      </c>
      <c r="B14" s="22" t="s">
        <v>17</v>
      </c>
      <c r="C14" s="23">
        <v>43693000</v>
      </c>
      <c r="D14" s="23">
        <v>69590000</v>
      </c>
      <c r="E14" s="23">
        <f t="shared" si="0"/>
        <v>25897000</v>
      </c>
      <c r="F14" s="24">
        <f t="shared" si="1"/>
        <v>0.5927036367381503</v>
      </c>
    </row>
    <row r="15" spans="1:8" ht="35.1" customHeight="1" x14ac:dyDescent="0.2">
      <c r="A15" s="21">
        <v>3</v>
      </c>
      <c r="B15" s="22" t="s">
        <v>18</v>
      </c>
      <c r="C15" s="23">
        <v>41819000</v>
      </c>
      <c r="D15" s="23">
        <v>42983000</v>
      </c>
      <c r="E15" s="23">
        <f t="shared" si="0"/>
        <v>1164000</v>
      </c>
      <c r="F15" s="24">
        <f t="shared" si="1"/>
        <v>2.7834238025777756E-2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2403000</v>
      </c>
      <c r="D18" s="23">
        <v>11424000</v>
      </c>
      <c r="E18" s="23">
        <f t="shared" si="0"/>
        <v>9021000</v>
      </c>
      <c r="F18" s="24">
        <f t="shared" si="1"/>
        <v>3.7540574282147317</v>
      </c>
    </row>
    <row r="19" spans="1:11" ht="24" customHeight="1" x14ac:dyDescent="0.2">
      <c r="A19" s="21">
        <v>7</v>
      </c>
      <c r="B19" s="22" t="s">
        <v>22</v>
      </c>
      <c r="C19" s="23">
        <v>3786000</v>
      </c>
      <c r="D19" s="23">
        <v>3618000</v>
      </c>
      <c r="E19" s="23">
        <f t="shared" si="0"/>
        <v>-168000</v>
      </c>
      <c r="F19" s="24">
        <f t="shared" si="1"/>
        <v>-4.4374009508716325E-2</v>
      </c>
    </row>
    <row r="20" spans="1:11" ht="24" customHeight="1" x14ac:dyDescent="0.2">
      <c r="A20" s="21">
        <v>8</v>
      </c>
      <c r="B20" s="22" t="s">
        <v>23</v>
      </c>
      <c r="C20" s="23">
        <v>2522000</v>
      </c>
      <c r="D20" s="23">
        <v>4454000</v>
      </c>
      <c r="E20" s="23">
        <f t="shared" si="0"/>
        <v>1932000</v>
      </c>
      <c r="F20" s="24">
        <f t="shared" si="1"/>
        <v>0.76605868358445683</v>
      </c>
    </row>
    <row r="21" spans="1:11" ht="24" customHeight="1" x14ac:dyDescent="0.2">
      <c r="A21" s="21">
        <v>9</v>
      </c>
      <c r="B21" s="22" t="s">
        <v>24</v>
      </c>
      <c r="C21" s="23">
        <v>5643000</v>
      </c>
      <c r="D21" s="23">
        <v>10506000</v>
      </c>
      <c r="E21" s="23">
        <f t="shared" si="0"/>
        <v>4863000</v>
      </c>
      <c r="F21" s="24">
        <f t="shared" si="1"/>
        <v>0.86177565124933542</v>
      </c>
    </row>
    <row r="22" spans="1:11" ht="24" customHeight="1" x14ac:dyDescent="0.25">
      <c r="A22" s="25"/>
      <c r="B22" s="26" t="s">
        <v>25</v>
      </c>
      <c r="C22" s="27">
        <f>SUM(C13:C21)</f>
        <v>137315000</v>
      </c>
      <c r="D22" s="27">
        <f>SUM(D13:D21)</f>
        <v>158647000</v>
      </c>
      <c r="E22" s="27">
        <f t="shared" si="0"/>
        <v>21332000</v>
      </c>
      <c r="F22" s="28">
        <f t="shared" si="1"/>
        <v>0.15535083566981028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1103000</v>
      </c>
      <c r="D25" s="23">
        <v>0</v>
      </c>
      <c r="E25" s="23">
        <f>D25-C25</f>
        <v>-1103000</v>
      </c>
      <c r="F25" s="24">
        <f>IF(C25=0,0,E25/C25)</f>
        <v>-1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5788000</v>
      </c>
      <c r="D27" s="23">
        <v>0</v>
      </c>
      <c r="E27" s="23">
        <f>D27-C27</f>
        <v>-5788000</v>
      </c>
      <c r="F27" s="24">
        <f>IF(C27=0,0,E27/C27)</f>
        <v>-1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6891000</v>
      </c>
      <c r="D29" s="27">
        <f>SUM(D25:D28)</f>
        <v>0</v>
      </c>
      <c r="E29" s="27">
        <f>D29-C29</f>
        <v>-6891000</v>
      </c>
      <c r="F29" s="28">
        <f>IF(C29=0,0,E29/C29)</f>
        <v>-1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43246000</v>
      </c>
      <c r="D32" s="23">
        <v>47464000</v>
      </c>
      <c r="E32" s="23">
        <f>D32-C32</f>
        <v>4218000</v>
      </c>
      <c r="F32" s="24">
        <f>IF(C32=0,0,E32/C32)</f>
        <v>9.7535032141700964E-2</v>
      </c>
    </row>
    <row r="33" spans="1:8" ht="24" customHeight="1" x14ac:dyDescent="0.2">
      <c r="A33" s="21">
        <v>7</v>
      </c>
      <c r="B33" s="22" t="s">
        <v>35</v>
      </c>
      <c r="C33" s="23">
        <v>18590000</v>
      </c>
      <c r="D33" s="23">
        <v>57407000</v>
      </c>
      <c r="E33" s="23">
        <f>D33-C33</f>
        <v>38817000</v>
      </c>
      <c r="F33" s="24">
        <f>IF(C33=0,0,E33/C33)</f>
        <v>2.0880580957504034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371922000</v>
      </c>
      <c r="D36" s="23">
        <v>395981000</v>
      </c>
      <c r="E36" s="23">
        <f>D36-C36</f>
        <v>24059000</v>
      </c>
      <c r="F36" s="24">
        <f>IF(C36=0,0,E36/C36)</f>
        <v>6.4688294857523893E-2</v>
      </c>
    </row>
    <row r="37" spans="1:8" ht="24" customHeight="1" x14ac:dyDescent="0.2">
      <c r="A37" s="21">
        <v>2</v>
      </c>
      <c r="B37" s="22" t="s">
        <v>39</v>
      </c>
      <c r="C37" s="23">
        <v>265257000</v>
      </c>
      <c r="D37" s="23">
        <v>284026000</v>
      </c>
      <c r="E37" s="23">
        <f>D37-C37</f>
        <v>18769000</v>
      </c>
      <c r="F37" s="23">
        <f>IF(C37=0,0,E37/C37)</f>
        <v>7.0757793385282958E-2</v>
      </c>
    </row>
    <row r="38" spans="1:8" ht="24" customHeight="1" x14ac:dyDescent="0.25">
      <c r="A38" s="25"/>
      <c r="B38" s="26" t="s">
        <v>40</v>
      </c>
      <c r="C38" s="27">
        <f>C36-C37</f>
        <v>106665000</v>
      </c>
      <c r="D38" s="27">
        <f>D36-D37</f>
        <v>111955000</v>
      </c>
      <c r="E38" s="27">
        <f>D38-C38</f>
        <v>5290000</v>
      </c>
      <c r="F38" s="28">
        <f>IF(C38=0,0,E38/C38)</f>
        <v>4.9594524914451786E-2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18530000</v>
      </c>
      <c r="D40" s="23">
        <v>17163000</v>
      </c>
      <c r="E40" s="23">
        <f>D40-C40</f>
        <v>-1367000</v>
      </c>
      <c r="F40" s="24">
        <f>IF(C40=0,0,E40/C40)</f>
        <v>-7.3772261198057201E-2</v>
      </c>
    </row>
    <row r="41" spans="1:8" ht="24" customHeight="1" x14ac:dyDescent="0.25">
      <c r="A41" s="25"/>
      <c r="B41" s="26" t="s">
        <v>42</v>
      </c>
      <c r="C41" s="27">
        <f>+C38+C40</f>
        <v>125195000</v>
      </c>
      <c r="D41" s="27">
        <f>+D38+D40</f>
        <v>129118000</v>
      </c>
      <c r="E41" s="27">
        <f>D41-C41</f>
        <v>3923000</v>
      </c>
      <c r="F41" s="28">
        <f>IF(C41=0,0,E41/C41)</f>
        <v>3.1335117217141259E-2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331237000</v>
      </c>
      <c r="D43" s="27">
        <f>D22+D29+D31+D32+D33+D41</f>
        <v>392636000</v>
      </c>
      <c r="E43" s="27">
        <f>D43-C43</f>
        <v>61399000</v>
      </c>
      <c r="F43" s="28">
        <f>IF(C43=0,0,E43/C43)</f>
        <v>0.18536274631155336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13308000</v>
      </c>
      <c r="D49" s="23">
        <v>10208000</v>
      </c>
      <c r="E49" s="23">
        <f t="shared" ref="E49:E56" si="2">D49-C49</f>
        <v>-3100000</v>
      </c>
      <c r="F49" s="24">
        <f t="shared" ref="F49:F56" si="3">IF(C49=0,0,E49/C49)</f>
        <v>-0.23294259092275324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40168000</v>
      </c>
      <c r="D50" s="23">
        <v>47324000</v>
      </c>
      <c r="E50" s="23">
        <f t="shared" si="2"/>
        <v>7156000</v>
      </c>
      <c r="F50" s="24">
        <f t="shared" si="3"/>
        <v>0.1781517625970922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3987000</v>
      </c>
      <c r="D51" s="23">
        <v>11424000</v>
      </c>
      <c r="E51" s="23">
        <f t="shared" si="2"/>
        <v>7437000</v>
      </c>
      <c r="F51" s="24">
        <f t="shared" si="3"/>
        <v>1.8653122648607976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3832000</v>
      </c>
      <c r="D53" s="23">
        <v>3809000</v>
      </c>
      <c r="E53" s="23">
        <f t="shared" si="2"/>
        <v>-23000</v>
      </c>
      <c r="F53" s="24">
        <f t="shared" si="3"/>
        <v>-6.0020876826722335E-3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6775000</v>
      </c>
      <c r="E55" s="23">
        <f t="shared" si="2"/>
        <v>6775000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61295000</v>
      </c>
      <c r="D56" s="27">
        <f>SUM(D49:D55)</f>
        <v>79540000</v>
      </c>
      <c r="E56" s="27">
        <f t="shared" si="2"/>
        <v>18245000</v>
      </c>
      <c r="F56" s="28">
        <f t="shared" si="3"/>
        <v>0.2976588628762542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49757000</v>
      </c>
      <c r="D59" s="23">
        <v>47436000</v>
      </c>
      <c r="E59" s="23">
        <f>D59-C59</f>
        <v>-2321000</v>
      </c>
      <c r="F59" s="24">
        <f>IF(C59=0,0,E59/C59)</f>
        <v>-4.6646702976465622E-2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49757000</v>
      </c>
      <c r="D61" s="27">
        <f>SUM(D59:D60)</f>
        <v>47436000</v>
      </c>
      <c r="E61" s="27">
        <f>D61-C61</f>
        <v>-2321000</v>
      </c>
      <c r="F61" s="28">
        <f>IF(C61=0,0,E61/C61)</f>
        <v>-4.6646702976465622E-2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58208000</v>
      </c>
      <c r="D63" s="23">
        <v>67041000</v>
      </c>
      <c r="E63" s="23">
        <f>D63-C63</f>
        <v>8833000</v>
      </c>
      <c r="F63" s="24">
        <f>IF(C63=0,0,E63/C63)</f>
        <v>0.15174890049477735</v>
      </c>
    </row>
    <row r="64" spans="1:6" ht="24" customHeight="1" x14ac:dyDescent="0.2">
      <c r="A64" s="21">
        <v>4</v>
      </c>
      <c r="B64" s="22" t="s">
        <v>60</v>
      </c>
      <c r="C64" s="23">
        <v>45835000</v>
      </c>
      <c r="D64" s="23">
        <v>77887000</v>
      </c>
      <c r="E64" s="23">
        <f>D64-C64</f>
        <v>32052000</v>
      </c>
      <c r="F64" s="24">
        <f>IF(C64=0,0,E64/C64)</f>
        <v>0.69929093487509542</v>
      </c>
    </row>
    <row r="65" spans="1:6" ht="24" customHeight="1" x14ac:dyDescent="0.25">
      <c r="A65" s="25"/>
      <c r="B65" s="26" t="s">
        <v>61</v>
      </c>
      <c r="C65" s="27">
        <f>SUM(C61:C64)</f>
        <v>153800000</v>
      </c>
      <c r="D65" s="27">
        <f>SUM(D61:D64)</f>
        <v>192364000</v>
      </c>
      <c r="E65" s="27">
        <f>D65-C65</f>
        <v>38564000</v>
      </c>
      <c r="F65" s="28">
        <f>IF(C65=0,0,E65/C65)</f>
        <v>0.25074122236671004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72064000</v>
      </c>
      <c r="D70" s="23">
        <v>72028000</v>
      </c>
      <c r="E70" s="23">
        <f>D70-C70</f>
        <v>-36000</v>
      </c>
      <c r="F70" s="24">
        <f>IF(C70=0,0,E70/C70)</f>
        <v>-4.9955595026642983E-4</v>
      </c>
    </row>
    <row r="71" spans="1:6" ht="24" customHeight="1" x14ac:dyDescent="0.2">
      <c r="A71" s="21">
        <v>2</v>
      </c>
      <c r="B71" s="22" t="s">
        <v>65</v>
      </c>
      <c r="C71" s="23">
        <v>24997000</v>
      </c>
      <c r="D71" s="23">
        <v>28832000</v>
      </c>
      <c r="E71" s="23">
        <f>D71-C71</f>
        <v>3835000</v>
      </c>
      <c r="F71" s="24">
        <f>IF(C71=0,0,E71/C71)</f>
        <v>0.15341841020922511</v>
      </c>
    </row>
    <row r="72" spans="1:6" ht="24" customHeight="1" x14ac:dyDescent="0.2">
      <c r="A72" s="21">
        <v>3</v>
      </c>
      <c r="B72" s="22" t="s">
        <v>66</v>
      </c>
      <c r="C72" s="23">
        <v>19081000</v>
      </c>
      <c r="D72" s="23">
        <v>19872000</v>
      </c>
      <c r="E72" s="23">
        <f>D72-C72</f>
        <v>791000</v>
      </c>
      <c r="F72" s="24">
        <f>IF(C72=0,0,E72/C72)</f>
        <v>4.1454850374718306E-2</v>
      </c>
    </row>
    <row r="73" spans="1:6" ht="24" customHeight="1" x14ac:dyDescent="0.25">
      <c r="A73" s="21"/>
      <c r="B73" s="26" t="s">
        <v>67</v>
      </c>
      <c r="C73" s="27">
        <f>SUM(C70:C72)</f>
        <v>116142000</v>
      </c>
      <c r="D73" s="27">
        <f>SUM(D70:D72)</f>
        <v>120732000</v>
      </c>
      <c r="E73" s="27">
        <f>D73-C73</f>
        <v>4590000</v>
      </c>
      <c r="F73" s="28">
        <f>IF(C73=0,0,E73/C73)</f>
        <v>3.9520586867799759E-2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331237000</v>
      </c>
      <c r="D75" s="27">
        <f>D56+D65+D67+D73</f>
        <v>392636000</v>
      </c>
      <c r="E75" s="27">
        <f>D75-C75</f>
        <v>61399000</v>
      </c>
      <c r="F75" s="28">
        <f>IF(C75=0,0,E75/C75)</f>
        <v>0.18536274631155336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FILING&amp;RBRIDGEPORT HOSPITAL &amp;AMP; HEALTHCARE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1300540000</v>
      </c>
      <c r="D12" s="51">
        <v>1390798000</v>
      </c>
      <c r="E12" s="51">
        <f t="shared" ref="E12:E19" si="0">D12-C12</f>
        <v>90258000</v>
      </c>
      <c r="F12" s="70">
        <f t="shared" ref="F12:F19" si="1">IF(C12=0,0,E12/C12)</f>
        <v>6.9400402909560649E-2</v>
      </c>
    </row>
    <row r="13" spans="1:8" ht="23.1" customHeight="1" x14ac:dyDescent="0.2">
      <c r="A13" s="25">
        <v>2</v>
      </c>
      <c r="B13" s="48" t="s">
        <v>72</v>
      </c>
      <c r="C13" s="51">
        <v>851787000</v>
      </c>
      <c r="D13" s="51">
        <v>932613000</v>
      </c>
      <c r="E13" s="51">
        <f t="shared" si="0"/>
        <v>80826000</v>
      </c>
      <c r="F13" s="70">
        <f t="shared" si="1"/>
        <v>9.4889919663014341E-2</v>
      </c>
    </row>
    <row r="14" spans="1:8" ht="23.1" customHeight="1" x14ac:dyDescent="0.2">
      <c r="A14" s="25">
        <v>3</v>
      </c>
      <c r="B14" s="48" t="s">
        <v>73</v>
      </c>
      <c r="C14" s="51">
        <v>29578000</v>
      </c>
      <c r="D14" s="51">
        <v>28181000</v>
      </c>
      <c r="E14" s="51">
        <f t="shared" si="0"/>
        <v>-1397000</v>
      </c>
      <c r="F14" s="70">
        <f t="shared" si="1"/>
        <v>-4.7231050104807625E-2</v>
      </c>
    </row>
    <row r="15" spans="1:8" ht="23.1" customHeight="1" x14ac:dyDescent="0.2">
      <c r="A15" s="25">
        <v>4</v>
      </c>
      <c r="B15" s="48" t="s">
        <v>74</v>
      </c>
      <c r="C15" s="51">
        <v>9560000</v>
      </c>
      <c r="D15" s="51">
        <v>9388000</v>
      </c>
      <c r="E15" s="51">
        <f t="shared" si="0"/>
        <v>-172000</v>
      </c>
      <c r="F15" s="70">
        <f t="shared" si="1"/>
        <v>-1.7991631799163181E-2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409615000</v>
      </c>
      <c r="D16" s="27">
        <f>D12-D13-D14-D15</f>
        <v>420616000</v>
      </c>
      <c r="E16" s="27">
        <f t="shared" si="0"/>
        <v>11001000</v>
      </c>
      <c r="F16" s="28">
        <f t="shared" si="1"/>
        <v>2.6856926626222185E-2</v>
      </c>
    </row>
    <row r="17" spans="1:7" ht="23.1" customHeight="1" x14ac:dyDescent="0.2">
      <c r="A17" s="25">
        <v>5</v>
      </c>
      <c r="B17" s="48" t="s">
        <v>76</v>
      </c>
      <c r="C17" s="51">
        <v>6230000</v>
      </c>
      <c r="D17" s="51">
        <v>14075000</v>
      </c>
      <c r="E17" s="51">
        <f t="shared" si="0"/>
        <v>7845000</v>
      </c>
      <c r="F17" s="70">
        <f t="shared" si="1"/>
        <v>1.2592295345104334</v>
      </c>
      <c r="G17" s="64"/>
    </row>
    <row r="18" spans="1:7" ht="33" customHeight="1" x14ac:dyDescent="0.2">
      <c r="A18" s="25">
        <v>6</v>
      </c>
      <c r="B18" s="45" t="s">
        <v>77</v>
      </c>
      <c r="C18" s="51">
        <v>4651000</v>
      </c>
      <c r="D18" s="51">
        <v>4975000</v>
      </c>
      <c r="E18" s="51">
        <f t="shared" si="0"/>
        <v>324000</v>
      </c>
      <c r="F18" s="70">
        <f t="shared" si="1"/>
        <v>6.9662438185336489E-2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420496000</v>
      </c>
      <c r="D19" s="27">
        <f>SUM(D16:D18)</f>
        <v>439666000</v>
      </c>
      <c r="E19" s="27">
        <f t="shared" si="0"/>
        <v>19170000</v>
      </c>
      <c r="F19" s="28">
        <f t="shared" si="1"/>
        <v>4.5589018682698525E-2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139990000</v>
      </c>
      <c r="D22" s="51">
        <v>144024000</v>
      </c>
      <c r="E22" s="51">
        <f t="shared" ref="E22:E31" si="2">D22-C22</f>
        <v>4034000</v>
      </c>
      <c r="F22" s="70">
        <f t="shared" ref="F22:F31" si="3">IF(C22=0,0,E22/C22)</f>
        <v>2.8816344024573184E-2</v>
      </c>
    </row>
    <row r="23" spans="1:7" ht="23.1" customHeight="1" x14ac:dyDescent="0.2">
      <c r="A23" s="25">
        <v>2</v>
      </c>
      <c r="B23" s="48" t="s">
        <v>81</v>
      </c>
      <c r="C23" s="51">
        <v>47178000</v>
      </c>
      <c r="D23" s="51">
        <v>47544000</v>
      </c>
      <c r="E23" s="51">
        <f t="shared" si="2"/>
        <v>366000</v>
      </c>
      <c r="F23" s="70">
        <f t="shared" si="3"/>
        <v>7.7578532366781123E-3</v>
      </c>
    </row>
    <row r="24" spans="1:7" ht="23.1" customHeight="1" x14ac:dyDescent="0.2">
      <c r="A24" s="25">
        <v>3</v>
      </c>
      <c r="B24" s="48" t="s">
        <v>82</v>
      </c>
      <c r="C24" s="51">
        <v>18061000</v>
      </c>
      <c r="D24" s="51">
        <v>23346000</v>
      </c>
      <c r="E24" s="51">
        <f t="shared" si="2"/>
        <v>5285000</v>
      </c>
      <c r="F24" s="70">
        <f t="shared" si="3"/>
        <v>0.29261945628702729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46888000</v>
      </c>
      <c r="D25" s="51">
        <v>47265000</v>
      </c>
      <c r="E25" s="51">
        <f t="shared" si="2"/>
        <v>377000</v>
      </c>
      <c r="F25" s="70">
        <f t="shared" si="3"/>
        <v>8.0404367855314799E-3</v>
      </c>
    </row>
    <row r="26" spans="1:7" ht="23.1" customHeight="1" x14ac:dyDescent="0.2">
      <c r="A26" s="25">
        <v>5</v>
      </c>
      <c r="B26" s="48" t="s">
        <v>84</v>
      </c>
      <c r="C26" s="51">
        <v>17957000</v>
      </c>
      <c r="D26" s="51">
        <v>20233000</v>
      </c>
      <c r="E26" s="51">
        <f t="shared" si="2"/>
        <v>2276000</v>
      </c>
      <c r="F26" s="70">
        <f t="shared" si="3"/>
        <v>0.12674722949267694</v>
      </c>
    </row>
    <row r="27" spans="1:7" ht="23.1" customHeight="1" x14ac:dyDescent="0.2">
      <c r="A27" s="25">
        <v>6</v>
      </c>
      <c r="B27" s="48" t="s">
        <v>85</v>
      </c>
      <c r="C27" s="51">
        <v>12302000</v>
      </c>
      <c r="D27" s="51">
        <v>16623000</v>
      </c>
      <c r="E27" s="51">
        <f t="shared" si="2"/>
        <v>4321000</v>
      </c>
      <c r="F27" s="70">
        <f t="shared" si="3"/>
        <v>0.35124370021134776</v>
      </c>
    </row>
    <row r="28" spans="1:7" ht="23.1" customHeight="1" x14ac:dyDescent="0.2">
      <c r="A28" s="25">
        <v>7</v>
      </c>
      <c r="B28" s="48" t="s">
        <v>86</v>
      </c>
      <c r="C28" s="51">
        <v>3110000</v>
      </c>
      <c r="D28" s="51">
        <v>2724000</v>
      </c>
      <c r="E28" s="51">
        <f t="shared" si="2"/>
        <v>-386000</v>
      </c>
      <c r="F28" s="70">
        <f t="shared" si="3"/>
        <v>-0.12411575562700965</v>
      </c>
    </row>
    <row r="29" spans="1:7" ht="23.1" customHeight="1" x14ac:dyDescent="0.2">
      <c r="A29" s="25">
        <v>8</v>
      </c>
      <c r="B29" s="48" t="s">
        <v>87</v>
      </c>
      <c r="C29" s="51">
        <v>5829000</v>
      </c>
      <c r="D29" s="51">
        <v>2179000</v>
      </c>
      <c r="E29" s="51">
        <f t="shared" si="2"/>
        <v>-3650000</v>
      </c>
      <c r="F29" s="70">
        <f t="shared" si="3"/>
        <v>-0.62617944758963806</v>
      </c>
    </row>
    <row r="30" spans="1:7" ht="23.1" customHeight="1" x14ac:dyDescent="0.2">
      <c r="A30" s="25">
        <v>9</v>
      </c>
      <c r="B30" s="48" t="s">
        <v>88</v>
      </c>
      <c r="C30" s="51">
        <v>102210000</v>
      </c>
      <c r="D30" s="51">
        <v>116360000</v>
      </c>
      <c r="E30" s="51">
        <f t="shared" si="2"/>
        <v>14150000</v>
      </c>
      <c r="F30" s="70">
        <f t="shared" si="3"/>
        <v>0.13844046570785637</v>
      </c>
    </row>
    <row r="31" spans="1:7" ht="23.1" customHeight="1" x14ac:dyDescent="0.25">
      <c r="A31" s="29"/>
      <c r="B31" s="71" t="s">
        <v>89</v>
      </c>
      <c r="C31" s="27">
        <f>SUM(C22:C30)</f>
        <v>393525000</v>
      </c>
      <c r="D31" s="27">
        <f>SUM(D22:D30)</f>
        <v>420298000</v>
      </c>
      <c r="E31" s="27">
        <f t="shared" si="2"/>
        <v>26773000</v>
      </c>
      <c r="F31" s="28">
        <f t="shared" si="3"/>
        <v>6.803379709040086E-2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26971000</v>
      </c>
      <c r="D33" s="27">
        <f>+D19-D31</f>
        <v>19368000</v>
      </c>
      <c r="E33" s="27">
        <f>D33-C33</f>
        <v>-7603000</v>
      </c>
      <c r="F33" s="28">
        <f>IF(C33=0,0,E33/C33)</f>
        <v>-0.28189536910014462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642000</v>
      </c>
      <c r="D38" s="51">
        <v>829000</v>
      </c>
      <c r="E38" s="51">
        <f>D38-C38</f>
        <v>187000</v>
      </c>
      <c r="F38" s="70">
        <f>IF(C38=0,0,E38/C38)</f>
        <v>0.29127725856697817</v>
      </c>
    </row>
    <row r="39" spans="1:6" ht="23.1" customHeight="1" x14ac:dyDescent="0.25">
      <c r="A39" s="20"/>
      <c r="B39" s="71" t="s">
        <v>95</v>
      </c>
      <c r="C39" s="27">
        <f>SUM(C36:C38)</f>
        <v>642000</v>
      </c>
      <c r="D39" s="27">
        <f>SUM(D36:D38)</f>
        <v>829000</v>
      </c>
      <c r="E39" s="27">
        <f>D39-C39</f>
        <v>187000</v>
      </c>
      <c r="F39" s="28">
        <f>IF(C39=0,0,E39/C39)</f>
        <v>0.29127725856697817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27613000</v>
      </c>
      <c r="D41" s="27">
        <f>D33+D39</f>
        <v>20197000</v>
      </c>
      <c r="E41" s="27">
        <f>D41-C41</f>
        <v>-7416000</v>
      </c>
      <c r="F41" s="28">
        <f>IF(C41=0,0,E41/C41)</f>
        <v>-0.26856915221091515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-680000</v>
      </c>
      <c r="D44" s="51">
        <v>1335000</v>
      </c>
      <c r="E44" s="51">
        <f>D44-C44</f>
        <v>2015000</v>
      </c>
      <c r="F44" s="70">
        <f>IF(C44=0,0,E44/C44)</f>
        <v>-2.9632352941176472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-680000</v>
      </c>
      <c r="D46" s="27">
        <f>SUM(D44:D45)</f>
        <v>1335000</v>
      </c>
      <c r="E46" s="27">
        <f>D46-C46</f>
        <v>2015000</v>
      </c>
      <c r="F46" s="28">
        <f>IF(C46=0,0,E46/C46)</f>
        <v>-2.9632352941176472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26933000</v>
      </c>
      <c r="D48" s="27">
        <f>D41+D46</f>
        <v>21532000</v>
      </c>
      <c r="E48" s="27">
        <f>D48-C48</f>
        <v>-5401000</v>
      </c>
      <c r="F48" s="28">
        <f>IF(C48=0,0,E48/C48)</f>
        <v>-0.20053466008242676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FILING&amp;R&amp;8BRIDGEPORT HOSPITAL &amp;AMP; HEALTHCARE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2013-09-11T11:23:29Z</cp:lastPrinted>
  <dcterms:created xsi:type="dcterms:W3CDTF">2006-08-03T13:49:12Z</dcterms:created>
  <dcterms:modified xsi:type="dcterms:W3CDTF">2013-09-12T14:54:52Z</dcterms:modified>
</cp:coreProperties>
</file>