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 s="1"/>
  <c r="D100" i="14"/>
  <c r="D95" i="14"/>
  <c r="D94" i="14"/>
  <c r="D88" i="14"/>
  <c r="D89" i="14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8" i="14"/>
  <c r="D44" i="14"/>
  <c r="D36" i="14"/>
  <c r="D35" i="14"/>
  <c r="D37" i="14"/>
  <c r="D30" i="14"/>
  <c r="D31" i="14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/>
  <c r="C86" i="19"/>
  <c r="C88" i="19"/>
  <c r="E83" i="19"/>
  <c r="D83" i="19"/>
  <c r="C83" i="19"/>
  <c r="E76" i="19"/>
  <c r="E102" i="19" s="1"/>
  <c r="D76" i="19"/>
  <c r="C76" i="19"/>
  <c r="C102" i="19"/>
  <c r="E75" i="19"/>
  <c r="E77" i="19" s="1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 s="1"/>
  <c r="D46" i="19" s="1"/>
  <c r="D34" i="19"/>
  <c r="D33" i="19"/>
  <c r="C12" i="19"/>
  <c r="C23" i="19" s="1"/>
  <c r="D21" i="18"/>
  <c r="C21" i="18"/>
  <c r="E21" i="18"/>
  <c r="F21" i="18" s="1"/>
  <c r="D19" i="18"/>
  <c r="C19" i="18"/>
  <c r="E19" i="18"/>
  <c r="F19" i="18" s="1"/>
  <c r="E17" i="18"/>
  <c r="F17" i="18" s="1"/>
  <c r="E15" i="18"/>
  <c r="F15" i="18" s="1"/>
  <c r="D45" i="17"/>
  <c r="C45" i="17"/>
  <c r="E45" i="17"/>
  <c r="D44" i="17"/>
  <c r="C44" i="17"/>
  <c r="E44" i="17" s="1"/>
  <c r="D43" i="17"/>
  <c r="D46" i="17" s="1"/>
  <c r="C43" i="17"/>
  <c r="E43" i="17" s="1"/>
  <c r="D36" i="17"/>
  <c r="D40" i="17" s="1"/>
  <c r="C36" i="17"/>
  <c r="E35" i="17"/>
  <c r="F35" i="17"/>
  <c r="E34" i="17"/>
  <c r="F34" i="17"/>
  <c r="E33" i="17"/>
  <c r="E36" i="17"/>
  <c r="E30" i="17"/>
  <c r="F30" i="17" s="1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E19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C37" i="16" s="1"/>
  <c r="E328" i="15"/>
  <c r="E325" i="15"/>
  <c r="D324" i="15"/>
  <c r="D326" i="15" s="1"/>
  <c r="C324" i="15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E293" i="15"/>
  <c r="C293" i="15"/>
  <c r="D292" i="15"/>
  <c r="C292" i="15"/>
  <c r="E292" i="15"/>
  <c r="D291" i="15"/>
  <c r="C291" i="15"/>
  <c r="E291" i="15" s="1"/>
  <c r="D290" i="15"/>
  <c r="E290" i="15" s="1"/>
  <c r="C290" i="15"/>
  <c r="D288" i="15"/>
  <c r="C288" i="15"/>
  <c r="E288" i="15" s="1"/>
  <c r="D287" i="15"/>
  <c r="C287" i="15"/>
  <c r="E287" i="15"/>
  <c r="D282" i="15"/>
  <c r="C282" i="15"/>
  <c r="E282" i="15" s="1"/>
  <c r="D281" i="15"/>
  <c r="C281" i="15"/>
  <c r="E281" i="15"/>
  <c r="D280" i="15"/>
  <c r="C280" i="15"/>
  <c r="E280" i="15" s="1"/>
  <c r="D279" i="15"/>
  <c r="E279" i="15" s="1"/>
  <c r="C279" i="15"/>
  <c r="D278" i="15"/>
  <c r="C278" i="15"/>
  <c r="E278" i="15" s="1"/>
  <c r="D277" i="15"/>
  <c r="E277" i="15" s="1"/>
  <c r="C277" i="15"/>
  <c r="D276" i="15"/>
  <c r="C276" i="15"/>
  <c r="E276" i="15" s="1"/>
  <c r="E270" i="15"/>
  <c r="D265" i="15"/>
  <c r="E265" i="15"/>
  <c r="C265" i="15"/>
  <c r="C302" i="15"/>
  <c r="C303" i="15" s="1"/>
  <c r="C306" i="15" s="1"/>
  <c r="C310" i="15" s="1"/>
  <c r="D262" i="15"/>
  <c r="E262" i="15" s="1"/>
  <c r="C262" i="15"/>
  <c r="D251" i="15"/>
  <c r="C251" i="15"/>
  <c r="D233" i="15"/>
  <c r="E233" i="15"/>
  <c r="C233" i="15"/>
  <c r="D232" i="15"/>
  <c r="E232" i="15" s="1"/>
  <c r="C232" i="15"/>
  <c r="D231" i="15"/>
  <c r="C231" i="15"/>
  <c r="D230" i="15"/>
  <c r="E230" i="15"/>
  <c r="C230" i="15"/>
  <c r="D228" i="15"/>
  <c r="C228" i="15"/>
  <c r="D227" i="15"/>
  <c r="C227" i="15"/>
  <c r="E227" i="15"/>
  <c r="D221" i="15"/>
  <c r="E221" i="15"/>
  <c r="C221" i="15"/>
  <c r="C245" i="15"/>
  <c r="D220" i="15"/>
  <c r="D244" i="15"/>
  <c r="C220" i="15"/>
  <c r="C244" i="15"/>
  <c r="D219" i="15"/>
  <c r="C219" i="15"/>
  <c r="C243" i="15" s="1"/>
  <c r="D218" i="15"/>
  <c r="D242" i="15" s="1"/>
  <c r="C218" i="15"/>
  <c r="D217" i="15"/>
  <c r="D216" i="15"/>
  <c r="D240" i="15"/>
  <c r="C216" i="15"/>
  <c r="C240" i="15"/>
  <c r="D215" i="15"/>
  <c r="D239" i="15"/>
  <c r="C215" i="15"/>
  <c r="E215" i="15" s="1"/>
  <c r="E209" i="15"/>
  <c r="E208" i="15"/>
  <c r="E207" i="15"/>
  <c r="E206" i="15"/>
  <c r="D205" i="15"/>
  <c r="D229" i="15"/>
  <c r="C205" i="15"/>
  <c r="C229" i="15" s="1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8" i="15"/>
  <c r="D261" i="15" s="1"/>
  <c r="C188" i="15"/>
  <c r="E186" i="15"/>
  <c r="E185" i="15"/>
  <c r="D179" i="15"/>
  <c r="C179" i="15"/>
  <c r="E179" i="15"/>
  <c r="D178" i="15"/>
  <c r="E178" i="15"/>
  <c r="C178" i="15"/>
  <c r="D177" i="15"/>
  <c r="E177" i="15" s="1"/>
  <c r="C177" i="15"/>
  <c r="D176" i="15"/>
  <c r="C176" i="15"/>
  <c r="E176" i="15" s="1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C165" i="15"/>
  <c r="E165" i="15"/>
  <c r="D164" i="15"/>
  <c r="E164" i="15"/>
  <c r="C164" i="15"/>
  <c r="D162" i="15"/>
  <c r="E162" i="15" s="1"/>
  <c r="C162" i="15"/>
  <c r="D161" i="15"/>
  <c r="C161" i="15"/>
  <c r="E161" i="15" s="1"/>
  <c r="E155" i="15"/>
  <c r="E154" i="15"/>
  <c r="E153" i="15"/>
  <c r="E152" i="15"/>
  <c r="D151" i="15"/>
  <c r="C151" i="15"/>
  <c r="C156" i="15"/>
  <c r="C157" i="15" s="1"/>
  <c r="E150" i="15"/>
  <c r="E149" i="15"/>
  <c r="E143" i="15"/>
  <c r="E142" i="15"/>
  <c r="E141" i="15"/>
  <c r="E140" i="15"/>
  <c r="D139" i="15"/>
  <c r="D175" i="15" s="1"/>
  <c r="C139" i="15"/>
  <c r="C163" i="15" s="1"/>
  <c r="E138" i="15"/>
  <c r="E137" i="15"/>
  <c r="D75" i="15"/>
  <c r="E75" i="15" s="1"/>
  <c r="C75" i="15"/>
  <c r="D74" i="15"/>
  <c r="E74" i="15"/>
  <c r="C74" i="15"/>
  <c r="D73" i="15"/>
  <c r="E73" i="15" s="1"/>
  <c r="C73" i="15"/>
  <c r="D72" i="15"/>
  <c r="C72" i="15"/>
  <c r="E72" i="15" s="1"/>
  <c r="D70" i="15"/>
  <c r="C70" i="15"/>
  <c r="E70" i="15"/>
  <c r="D69" i="15"/>
  <c r="E69" i="15"/>
  <c r="C69" i="15"/>
  <c r="E64" i="15"/>
  <c r="E63" i="15"/>
  <c r="E62" i="15"/>
  <c r="E61" i="15"/>
  <c r="D60" i="15"/>
  <c r="D289" i="15" s="1"/>
  <c r="C60" i="15"/>
  <c r="E59" i="15"/>
  <c r="E58" i="15"/>
  <c r="D54" i="15"/>
  <c r="D55" i="15" s="1"/>
  <c r="C54" i="15"/>
  <c r="C55" i="15"/>
  <c r="E53" i="15"/>
  <c r="E52" i="15"/>
  <c r="E51" i="15"/>
  <c r="E50" i="15"/>
  <c r="E49" i="15"/>
  <c r="E48" i="15"/>
  <c r="E47" i="15"/>
  <c r="D42" i="15"/>
  <c r="E42" i="15" s="1"/>
  <c r="C42" i="15"/>
  <c r="D41" i="15"/>
  <c r="E41" i="15"/>
  <c r="C41" i="15"/>
  <c r="D40" i="15"/>
  <c r="E40" i="15" s="1"/>
  <c r="C40" i="15"/>
  <c r="D39" i="15"/>
  <c r="E39" i="15"/>
  <c r="C39" i="15"/>
  <c r="D38" i="15"/>
  <c r="C38" i="15"/>
  <c r="D37" i="15"/>
  <c r="E37" i="15" s="1"/>
  <c r="C37" i="15"/>
  <c r="C43" i="15" s="1"/>
  <c r="C44" i="15" s="1"/>
  <c r="D36" i="15"/>
  <c r="C36" i="15"/>
  <c r="D32" i="15"/>
  <c r="D33" i="15" s="1"/>
  <c r="C32" i="15"/>
  <c r="E32" i="15"/>
  <c r="E31" i="15"/>
  <c r="E30" i="15"/>
  <c r="E29" i="15"/>
  <c r="E28" i="15"/>
  <c r="E27" i="15"/>
  <c r="E26" i="15"/>
  <c r="E25" i="15"/>
  <c r="D21" i="15"/>
  <c r="C21" i="15"/>
  <c r="C22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/>
  <c r="F316" i="14"/>
  <c r="E316" i="14"/>
  <c r="C311" i="14"/>
  <c r="E308" i="14"/>
  <c r="F308" i="14"/>
  <c r="C307" i="14"/>
  <c r="E307" i="14"/>
  <c r="C299" i="14"/>
  <c r="E299" i="14"/>
  <c r="F299" i="14"/>
  <c r="C298" i="14"/>
  <c r="C297" i="14"/>
  <c r="E297" i="14" s="1"/>
  <c r="F297" i="14" s="1"/>
  <c r="C296" i="14"/>
  <c r="E296" i="14" s="1"/>
  <c r="C295" i="14"/>
  <c r="E295" i="14"/>
  <c r="F295" i="14" s="1"/>
  <c r="C294" i="14"/>
  <c r="E294" i="14" s="1"/>
  <c r="F294" i="14" s="1"/>
  <c r="C250" i="14"/>
  <c r="E250" i="14"/>
  <c r="F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4" i="14"/>
  <c r="F234" i="14"/>
  <c r="E233" i="14"/>
  <c r="F233" i="14"/>
  <c r="C230" i="14"/>
  <c r="E230" i="14"/>
  <c r="F230" i="14" s="1"/>
  <c r="C229" i="14"/>
  <c r="E229" i="14" s="1"/>
  <c r="E228" i="14"/>
  <c r="F228" i="14" s="1"/>
  <c r="C226" i="14"/>
  <c r="E225" i="14"/>
  <c r="F225" i="14"/>
  <c r="E224" i="14"/>
  <c r="F224" i="14"/>
  <c r="C223" i="14"/>
  <c r="E223" i="14"/>
  <c r="F223" i="14" s="1"/>
  <c r="E222" i="14"/>
  <c r="F222" i="14" s="1"/>
  <c r="E221" i="14"/>
  <c r="F221" i="14" s="1"/>
  <c r="C204" i="14"/>
  <c r="C285" i="14" s="1"/>
  <c r="C203" i="14"/>
  <c r="C205" i="14" s="1"/>
  <c r="C198" i="14"/>
  <c r="C199" i="14" s="1"/>
  <c r="C191" i="14"/>
  <c r="C189" i="14"/>
  <c r="C188" i="14"/>
  <c r="C277" i="14" s="1"/>
  <c r="C180" i="14"/>
  <c r="C179" i="14"/>
  <c r="C171" i="14"/>
  <c r="C170" i="14"/>
  <c r="E169" i="14"/>
  <c r="F169" i="14" s="1"/>
  <c r="E168" i="14"/>
  <c r="F168" i="14" s="1"/>
  <c r="E165" i="14"/>
  <c r="C165" i="14"/>
  <c r="F165" i="14"/>
  <c r="C164" i="14"/>
  <c r="E164" i="14" s="1"/>
  <c r="E163" i="14"/>
  <c r="F163" i="14"/>
  <c r="C158" i="14"/>
  <c r="E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F145" i="14" s="1"/>
  <c r="E144" i="14"/>
  <c r="C144" i="14"/>
  <c r="C137" i="14"/>
  <c r="C136" i="14"/>
  <c r="E136" i="14"/>
  <c r="F136" i="14" s="1"/>
  <c r="C135" i="14"/>
  <c r="E135" i="14" s="1"/>
  <c r="E134" i="14"/>
  <c r="F134" i="14" s="1"/>
  <c r="E133" i="14"/>
  <c r="F133" i="14" s="1"/>
  <c r="C130" i="14"/>
  <c r="E130" i="14" s="1"/>
  <c r="C129" i="14"/>
  <c r="E128" i="14"/>
  <c r="F128" i="14"/>
  <c r="C123" i="14"/>
  <c r="E123" i="14" s="1"/>
  <c r="E122" i="14"/>
  <c r="F122" i="14"/>
  <c r="E121" i="14"/>
  <c r="F121" i="14"/>
  <c r="C120" i="14"/>
  <c r="E119" i="14"/>
  <c r="F119" i="14" s="1"/>
  <c r="E118" i="14"/>
  <c r="F118" i="14" s="1"/>
  <c r="C110" i="14"/>
  <c r="E110" i="14" s="1"/>
  <c r="C109" i="14"/>
  <c r="C101" i="14"/>
  <c r="E101" i="14"/>
  <c r="C100" i="14"/>
  <c r="E100" i="14"/>
  <c r="E99" i="14"/>
  <c r="F99" i="14"/>
  <c r="E98" i="14"/>
  <c r="F98" i="14"/>
  <c r="C95" i="14"/>
  <c r="C94" i="14"/>
  <c r="E94" i="14" s="1"/>
  <c r="F94" i="14" s="1"/>
  <c r="E93" i="14"/>
  <c r="F93" i="14"/>
  <c r="C88" i="14"/>
  <c r="C89" i="14"/>
  <c r="E87" i="14"/>
  <c r="F87" i="14"/>
  <c r="E86" i="14"/>
  <c r="F86" i="14"/>
  <c r="C85" i="14"/>
  <c r="E85" i="14"/>
  <c r="F85" i="14" s="1"/>
  <c r="F84" i="14"/>
  <c r="E84" i="14"/>
  <c r="E83" i="14"/>
  <c r="F83" i="14" s="1"/>
  <c r="C76" i="14"/>
  <c r="C77" i="14" s="1"/>
  <c r="E74" i="14"/>
  <c r="F74" i="14"/>
  <c r="E73" i="14"/>
  <c r="F73" i="14"/>
  <c r="C67" i="14"/>
  <c r="E67" i="14"/>
  <c r="C66" i="14"/>
  <c r="C59" i="14"/>
  <c r="C60" i="14" s="1"/>
  <c r="C58" i="14"/>
  <c r="E58" i="14" s="1"/>
  <c r="E57" i="14"/>
  <c r="F57" i="14" s="1"/>
  <c r="E56" i="14"/>
  <c r="F56" i="14" s="1"/>
  <c r="C53" i="14"/>
  <c r="E53" i="14" s="1"/>
  <c r="C52" i="14"/>
  <c r="E51" i="14"/>
  <c r="F51" i="14"/>
  <c r="C47" i="14"/>
  <c r="E47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F36" i="14" s="1"/>
  <c r="C35" i="14"/>
  <c r="C37" i="14" s="1"/>
  <c r="C31" i="14"/>
  <c r="C32" i="14" s="1"/>
  <c r="E32" i="14"/>
  <c r="C30" i="14"/>
  <c r="E30" i="14"/>
  <c r="F30" i="14" s="1"/>
  <c r="C29" i="14"/>
  <c r="E28" i="14"/>
  <c r="F28" i="14"/>
  <c r="E27" i="14"/>
  <c r="F27" i="14"/>
  <c r="C24" i="14"/>
  <c r="C23" i="14"/>
  <c r="E22" i="14"/>
  <c r="F22" i="14"/>
  <c r="C20" i="14"/>
  <c r="C21" i="14"/>
  <c r="E19" i="14"/>
  <c r="F19" i="14"/>
  <c r="E18" i="14"/>
  <c r="F18" i="14"/>
  <c r="C17" i="14"/>
  <c r="E17" i="14"/>
  <c r="F17" i="14" s="1"/>
  <c r="F16" i="14"/>
  <c r="E16" i="14"/>
  <c r="E15" i="14"/>
  <c r="F15" i="14" s="1"/>
  <c r="D21" i="13"/>
  <c r="E21" i="13" s="1"/>
  <c r="C21" i="13"/>
  <c r="E20" i="13"/>
  <c r="F20" i="13" s="1"/>
  <c r="D17" i="13"/>
  <c r="C17" i="13"/>
  <c r="E16" i="13"/>
  <c r="F16" i="13"/>
  <c r="D13" i="13"/>
  <c r="C13" i="13"/>
  <c r="E13" i="13" s="1"/>
  <c r="E12" i="13"/>
  <c r="F12" i="13" s="1"/>
  <c r="D99" i="12"/>
  <c r="C99" i="12"/>
  <c r="E98" i="12"/>
  <c r="F98" i="12" s="1"/>
  <c r="F97" i="12"/>
  <c r="E97" i="12"/>
  <c r="E96" i="12"/>
  <c r="F96" i="12" s="1"/>
  <c r="D92" i="12"/>
  <c r="E92" i="12" s="1"/>
  <c r="C92" i="12"/>
  <c r="F91" i="12"/>
  <c r="E91" i="12"/>
  <c r="E90" i="12"/>
  <c r="F90" i="12" s="1"/>
  <c r="E89" i="12"/>
  <c r="F89" i="12" s="1"/>
  <c r="E88" i="12"/>
  <c r="F88" i="12" s="1"/>
  <c r="E87" i="12"/>
  <c r="F87" i="12" s="1"/>
  <c r="D84" i="12"/>
  <c r="E84" i="12" s="1"/>
  <c r="C84" i="12"/>
  <c r="E83" i="12"/>
  <c r="F83" i="12"/>
  <c r="E82" i="12"/>
  <c r="F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C70" i="12"/>
  <c r="F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 s="1"/>
  <c r="E59" i="12"/>
  <c r="F59" i="12"/>
  <c r="E58" i="12"/>
  <c r="E60" i="12"/>
  <c r="F58" i="12"/>
  <c r="D55" i="12"/>
  <c r="E55" i="12"/>
  <c r="C55" i="12"/>
  <c r="F55" i="12"/>
  <c r="E54" i="12"/>
  <c r="F54" i="12"/>
  <c r="E53" i="12"/>
  <c r="F53" i="12"/>
  <c r="D50" i="12"/>
  <c r="E50" i="12"/>
  <c r="C50" i="12"/>
  <c r="F50" i="12"/>
  <c r="E49" i="12"/>
  <c r="F49" i="12"/>
  <c r="E48" i="12"/>
  <c r="F48" i="12"/>
  <c r="D45" i="12"/>
  <c r="C45" i="12"/>
  <c r="E44" i="12"/>
  <c r="F44" i="12"/>
  <c r="E43" i="12"/>
  <c r="F43" i="12"/>
  <c r="D37" i="12"/>
  <c r="C37" i="12"/>
  <c r="F36" i="12"/>
  <c r="E36" i="12"/>
  <c r="F35" i="12"/>
  <c r="E35" i="12"/>
  <c r="E34" i="12"/>
  <c r="F34" i="12"/>
  <c r="F33" i="12"/>
  <c r="E33" i="12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F20" i="12"/>
  <c r="E20" i="12"/>
  <c r="E19" i="12"/>
  <c r="F19" i="12" s="1"/>
  <c r="D16" i="12"/>
  <c r="E16" i="12" s="1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E17" i="11"/>
  <c r="D17" i="11"/>
  <c r="D33" i="11"/>
  <c r="D36" i="11" s="1"/>
  <c r="D38" i="11" s="1"/>
  <c r="C17" i="11"/>
  <c r="C33" i="1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 s="1"/>
  <c r="D78" i="10"/>
  <c r="D80" i="10" s="1"/>
  <c r="D77" i="10" s="1"/>
  <c r="C78" i="10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/>
  <c r="C66" i="10"/>
  <c r="C65" i="10"/>
  <c r="E65" i="10"/>
  <c r="E60" i="10"/>
  <c r="D60" i="10"/>
  <c r="C60" i="10"/>
  <c r="E58" i="10"/>
  <c r="D58" i="10"/>
  <c r="C58" i="10"/>
  <c r="E55" i="10"/>
  <c r="D55" i="10"/>
  <c r="C55" i="10"/>
  <c r="E54" i="10"/>
  <c r="D54" i="10"/>
  <c r="D50" i="10" s="1"/>
  <c r="C54" i="10"/>
  <c r="C50" i="10" s="1"/>
  <c r="E50" i="10"/>
  <c r="E46" i="10"/>
  <c r="E48" i="10"/>
  <c r="E42" i="10" s="1"/>
  <c r="E59" i="10"/>
  <c r="E61" i="10" s="1"/>
  <c r="E57" i="10" s="1"/>
  <c r="D46" i="10"/>
  <c r="D59" i="10"/>
  <c r="D61" i="10" s="1"/>
  <c r="D57" i="10" s="1"/>
  <c r="C46" i="10"/>
  <c r="E45" i="10"/>
  <c r="D45" i="10"/>
  <c r="C45" i="10"/>
  <c r="E38" i="10"/>
  <c r="D38" i="10"/>
  <c r="C38" i="10"/>
  <c r="E33" i="10"/>
  <c r="E34" i="10"/>
  <c r="D33" i="10"/>
  <c r="D34" i="10" s="1"/>
  <c r="E26" i="10"/>
  <c r="D26" i="10"/>
  <c r="C26" i="10"/>
  <c r="E13" i="10"/>
  <c r="E15" i="10" s="1"/>
  <c r="D13" i="10"/>
  <c r="C13" i="10"/>
  <c r="C15" i="10" s="1"/>
  <c r="C17" i="10" s="1"/>
  <c r="C28" i="10" s="1"/>
  <c r="C70" i="10" s="1"/>
  <c r="C72" i="10" s="1"/>
  <c r="C25" i="10"/>
  <c r="C27" i="10" s="1"/>
  <c r="D46" i="9"/>
  <c r="E46" i="9" s="1"/>
  <c r="C46" i="9"/>
  <c r="F46" i="9" s="1"/>
  <c r="F45" i="9"/>
  <c r="E45" i="9"/>
  <c r="E44" i="9"/>
  <c r="F44" i="9" s="1"/>
  <c r="D39" i="9"/>
  <c r="E39" i="9" s="1"/>
  <c r="C39" i="9"/>
  <c r="E38" i="9"/>
  <c r="F38" i="9" s="1"/>
  <c r="F37" i="9"/>
  <c r="E37" i="9"/>
  <c r="F36" i="9"/>
  <c r="E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C16" i="9"/>
  <c r="E16" i="9" s="1"/>
  <c r="E15" i="9"/>
  <c r="F15" i="9"/>
  <c r="E14" i="9"/>
  <c r="F14" i="9"/>
  <c r="E13" i="9"/>
  <c r="F13" i="9"/>
  <c r="E12" i="9"/>
  <c r="F12" i="9"/>
  <c r="D73" i="8"/>
  <c r="E73" i="8" s="1"/>
  <c r="C73" i="8"/>
  <c r="F73" i="8" s="1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E65" i="8" s="1"/>
  <c r="C61" i="8"/>
  <c r="C65" i="8" s="1"/>
  <c r="C75" i="8" s="1"/>
  <c r="F60" i="8"/>
  <c r="E60" i="8"/>
  <c r="E59" i="8"/>
  <c r="F59" i="8" s="1"/>
  <c r="D56" i="8"/>
  <c r="E56" i="8" s="1"/>
  <c r="C56" i="8"/>
  <c r="F55" i="8"/>
  <c r="E55" i="8"/>
  <c r="F54" i="8"/>
  <c r="E54" i="8"/>
  <c r="E53" i="8"/>
  <c r="F53" i="8"/>
  <c r="F52" i="8"/>
  <c r="E52" i="8"/>
  <c r="E51" i="8"/>
  <c r="F51" i="8"/>
  <c r="E50" i="8"/>
  <c r="F50" i="8"/>
  <c r="A50" i="8"/>
  <c r="A51" i="8"/>
  <c r="A52" i="8" s="1"/>
  <c r="A53" i="8" s="1"/>
  <c r="A54" i="8" s="1"/>
  <c r="A55" i="8" s="1"/>
  <c r="E49" i="8"/>
  <c r="F49" i="8"/>
  <c r="E40" i="8"/>
  <c r="F40" i="8"/>
  <c r="D38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9" i="8" s="1"/>
  <c r="F28" i="8"/>
  <c r="E28" i="8"/>
  <c r="E27" i="8"/>
  <c r="F27" i="8"/>
  <c r="F26" i="8"/>
  <c r="E26" i="8"/>
  <c r="E25" i="8"/>
  <c r="F25" i="8"/>
  <c r="D22" i="8"/>
  <c r="E22" i="8" s="1"/>
  <c r="C22" i="8"/>
  <c r="E21" i="8"/>
  <c r="F21" i="8"/>
  <c r="E20" i="8"/>
  <c r="F20" i="8"/>
  <c r="E19" i="8"/>
  <c r="F19" i="8"/>
  <c r="E18" i="8"/>
  <c r="F18" i="8"/>
  <c r="F17" i="8"/>
  <c r="E17" i="8"/>
  <c r="F16" i="8"/>
  <c r="E16" i="8"/>
  <c r="E15" i="8"/>
  <c r="F15" i="8" s="1"/>
  <c r="E14" i="8"/>
  <c r="F14" i="8"/>
  <c r="E13" i="8"/>
  <c r="F13" i="8"/>
  <c r="D120" i="7"/>
  <c r="E120" i="7" s="1"/>
  <c r="C120" i="7"/>
  <c r="D119" i="7"/>
  <c r="C119" i="7"/>
  <c r="E119" i="7" s="1"/>
  <c r="D118" i="7"/>
  <c r="C118" i="7"/>
  <c r="E118" i="7"/>
  <c r="D117" i="7"/>
  <c r="C117" i="7"/>
  <c r="E117" i="7" s="1"/>
  <c r="D116" i="7"/>
  <c r="C116" i="7"/>
  <c r="D115" i="7"/>
  <c r="C115" i="7"/>
  <c r="E115" i="7"/>
  <c r="D114" i="7"/>
  <c r="E114" i="7" s="1"/>
  <c r="C114" i="7"/>
  <c r="D113" i="7"/>
  <c r="C113" i="7"/>
  <c r="D112" i="7"/>
  <c r="D121" i="7" s="1"/>
  <c r="C112" i="7"/>
  <c r="D108" i="7"/>
  <c r="C108" i="7"/>
  <c r="E108" i="7" s="1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F96" i="7" s="1"/>
  <c r="E96" i="7"/>
  <c r="D95" i="7"/>
  <c r="C95" i="7"/>
  <c r="E95" i="7" s="1"/>
  <c r="F95" i="7" s="1"/>
  <c r="F94" i="7"/>
  <c r="E94" i="7"/>
  <c r="F93" i="7"/>
  <c r="E93" i="7"/>
  <c r="E92" i="7"/>
  <c r="F92" i="7"/>
  <c r="F91" i="7"/>
  <c r="E91" i="7"/>
  <c r="F90" i="7"/>
  <c r="E90" i="7"/>
  <c r="E89" i="7"/>
  <c r="F89" i="7"/>
  <c r="E88" i="7"/>
  <c r="F88" i="7"/>
  <c r="F87" i="7"/>
  <c r="E87" i="7"/>
  <c r="F86" i="7"/>
  <c r="E86" i="7"/>
  <c r="D84" i="7"/>
  <c r="C84" i="7"/>
  <c r="F84" i="7" s="1"/>
  <c r="D83" i="7"/>
  <c r="C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D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/>
  <c r="E50" i="7"/>
  <c r="F50" i="7"/>
  <c r="D48" i="7"/>
  <c r="C48" i="7"/>
  <c r="E48" i="7" s="1"/>
  <c r="D47" i="7"/>
  <c r="C47" i="7"/>
  <c r="E47" i="7"/>
  <c r="E46" i="7"/>
  <c r="F46" i="7"/>
  <c r="E45" i="7"/>
  <c r="F45" i="7"/>
  <c r="E44" i="7"/>
  <c r="F44" i="7"/>
  <c r="E43" i="7"/>
  <c r="F43" i="7"/>
  <c r="E42" i="7"/>
  <c r="F42" i="7"/>
  <c r="E41" i="7"/>
  <c r="F41" i="7"/>
  <c r="E40" i="7"/>
  <c r="F40" i="7"/>
  <c r="E39" i="7"/>
  <c r="F39" i="7"/>
  <c r="E38" i="7"/>
  <c r="F38" i="7"/>
  <c r="D36" i="7"/>
  <c r="E36" i="7"/>
  <c r="C36" i="7"/>
  <c r="D35" i="7"/>
  <c r="E35" i="7" s="1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 s="1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D205" i="6"/>
  <c r="E205" i="6" s="1"/>
  <c r="C205" i="6"/>
  <c r="D204" i="6"/>
  <c r="E204" i="6" s="1"/>
  <c r="C204" i="6"/>
  <c r="D203" i="6"/>
  <c r="E203" i="6" s="1"/>
  <c r="C203" i="6"/>
  <c r="D202" i="6"/>
  <c r="E202" i="6" s="1"/>
  <c r="C202" i="6"/>
  <c r="D201" i="6"/>
  <c r="E201" i="6" s="1"/>
  <c r="C201" i="6"/>
  <c r="D200" i="6"/>
  <c r="E200" i="6" s="1"/>
  <c r="C200" i="6"/>
  <c r="D199" i="6"/>
  <c r="D208" i="6" s="1"/>
  <c r="C199" i="6"/>
  <c r="D198" i="6"/>
  <c r="D207" i="6"/>
  <c r="C198" i="6"/>
  <c r="F193" i="6"/>
  <c r="D193" i="6"/>
  <c r="E193" i="6"/>
  <c r="C193" i="6"/>
  <c r="F192" i="6"/>
  <c r="D192" i="6"/>
  <c r="E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1" i="6"/>
  <c r="D141" i="6"/>
  <c r="E141" i="6"/>
  <c r="C141" i="6"/>
  <c r="F140" i="6"/>
  <c r="D140" i="6"/>
  <c r="E140" i="6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C128" i="6"/>
  <c r="D127" i="6"/>
  <c r="E127" i="6"/>
  <c r="C127" i="6"/>
  <c r="F126" i="6"/>
  <c r="E126" i="6"/>
  <c r="E125" i="6"/>
  <c r="F125" i="6" s="1"/>
  <c r="F124" i="6"/>
  <c r="E124" i="6"/>
  <c r="F123" i="6"/>
  <c r="E123" i="6"/>
  <c r="F122" i="6"/>
  <c r="E122" i="6"/>
  <c r="E121" i="6"/>
  <c r="F121" i="6" s="1"/>
  <c r="F120" i="6"/>
  <c r="E120" i="6"/>
  <c r="F119" i="6"/>
  <c r="E119" i="6"/>
  <c r="F118" i="6"/>
  <c r="E118" i="6"/>
  <c r="D115" i="6"/>
  <c r="E115" i="6" s="1"/>
  <c r="C115" i="6"/>
  <c r="D114" i="6"/>
  <c r="E114" i="6"/>
  <c r="C114" i="6"/>
  <c r="E113" i="6"/>
  <c r="F113" i="6" s="1"/>
  <c r="F112" i="6"/>
  <c r="E112" i="6"/>
  <c r="E111" i="6"/>
  <c r="F111" i="6" s="1"/>
  <c r="F110" i="6"/>
  <c r="E110" i="6"/>
  <c r="E109" i="6"/>
  <c r="F109" i="6" s="1"/>
  <c r="F108" i="6"/>
  <c r="E108" i="6"/>
  <c r="E107" i="6"/>
  <c r="F107" i="6" s="1"/>
  <c r="F106" i="6"/>
  <c r="E106" i="6"/>
  <c r="E105" i="6"/>
  <c r="F105" i="6" s="1"/>
  <c r="D102" i="6"/>
  <c r="C102" i="6"/>
  <c r="F102" i="6"/>
  <c r="D101" i="6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D88" i="6"/>
  <c r="E88" i="6"/>
  <c r="C88" i="6"/>
  <c r="F87" i="6"/>
  <c r="E87" i="6"/>
  <c r="F86" i="6"/>
  <c r="E86" i="6"/>
  <c r="E85" i="6"/>
  <c r="F85" i="6" s="1"/>
  <c r="F84" i="6"/>
  <c r="E84" i="6"/>
  <c r="E83" i="6"/>
  <c r="F83" i="6" s="1"/>
  <c r="F82" i="6"/>
  <c r="E82" i="6"/>
  <c r="E81" i="6"/>
  <c r="F81" i="6" s="1"/>
  <c r="F80" i="6"/>
  <c r="E80" i="6"/>
  <c r="E79" i="6"/>
  <c r="F79" i="6" s="1"/>
  <c r="D76" i="6"/>
  <c r="C76" i="6"/>
  <c r="D75" i="6"/>
  <c r="C75" i="6"/>
  <c r="F74" i="6"/>
  <c r="E74" i="6"/>
  <c r="E73" i="6"/>
  <c r="F73" i="6" s="1"/>
  <c r="F72" i="6"/>
  <c r="E72" i="6"/>
  <c r="E71" i="6"/>
  <c r="F71" i="6" s="1"/>
  <c r="F70" i="6"/>
  <c r="E70" i="6"/>
  <c r="E69" i="6"/>
  <c r="F69" i="6" s="1"/>
  <c r="F68" i="6"/>
  <c r="E68" i="6"/>
  <c r="E67" i="6"/>
  <c r="F67" i="6" s="1"/>
  <c r="F66" i="6"/>
  <c r="E66" i="6"/>
  <c r="D63" i="6"/>
  <c r="E63" i="6" s="1"/>
  <c r="C63" i="6"/>
  <c r="D62" i="6"/>
  <c r="E62" i="6"/>
  <c r="C62" i="6"/>
  <c r="E61" i="6"/>
  <c r="F61" i="6" s="1"/>
  <c r="F60" i="6"/>
  <c r="E60" i="6"/>
  <c r="E59" i="6"/>
  <c r="F59" i="6" s="1"/>
  <c r="F58" i="6"/>
  <c r="E58" i="6"/>
  <c r="E57" i="6"/>
  <c r="F57" i="6" s="1"/>
  <c r="F56" i="6"/>
  <c r="E56" i="6"/>
  <c r="E55" i="6"/>
  <c r="F55" i="6" s="1"/>
  <c r="F54" i="6"/>
  <c r="E54" i="6"/>
  <c r="E53" i="6"/>
  <c r="F53" i="6" s="1"/>
  <c r="D50" i="6"/>
  <c r="E50" i="6" s="1"/>
  <c r="C50" i="6"/>
  <c r="F50" i="6" s="1"/>
  <c r="D49" i="6"/>
  <c r="E49" i="6" s="1"/>
  <c r="C49" i="6"/>
  <c r="F49" i="6" s="1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E23" i="6"/>
  <c r="C23" i="6"/>
  <c r="F22" i="6"/>
  <c r="E22" i="6"/>
  <c r="E21" i="6"/>
  <c r="F21" i="6" s="1"/>
  <c r="F20" i="6"/>
  <c r="E20" i="6"/>
  <c r="E19" i="6"/>
  <c r="F19" i="6" s="1"/>
  <c r="F18" i="6"/>
  <c r="E18" i="6"/>
  <c r="E17" i="6"/>
  <c r="F17" i="6" s="1"/>
  <c r="F16" i="6"/>
  <c r="E16" i="6"/>
  <c r="E15" i="6"/>
  <c r="F15" i="6" s="1"/>
  <c r="F14" i="6"/>
  <c r="E14" i="6"/>
  <c r="E191" i="5"/>
  <c r="D191" i="5"/>
  <c r="C191" i="5"/>
  <c r="E176" i="5"/>
  <c r="D176" i="5"/>
  <c r="C176" i="5"/>
  <c r="E164" i="5"/>
  <c r="E160" i="5" s="1"/>
  <c r="E166" i="5" s="1"/>
  <c r="D164" i="5"/>
  <c r="D160" i="5"/>
  <c r="C164" i="5"/>
  <c r="E162" i="5"/>
  <c r="D162" i="5"/>
  <c r="C162" i="5"/>
  <c r="E161" i="5"/>
  <c r="D161" i="5"/>
  <c r="C161" i="5"/>
  <c r="C160" i="5"/>
  <c r="E147" i="5"/>
  <c r="E143" i="5"/>
  <c r="E149" i="5" s="1"/>
  <c r="D147" i="5"/>
  <c r="D143" i="5" s="1"/>
  <c r="C147" i="5"/>
  <c r="C143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D109" i="5" s="1"/>
  <c r="D106" i="5" s="1"/>
  <c r="C107" i="5"/>
  <c r="C109" i="5"/>
  <c r="C106" i="5" s="1"/>
  <c r="C104" i="5"/>
  <c r="E102" i="5"/>
  <c r="E104" i="5"/>
  <c r="D102" i="5"/>
  <c r="D104" i="5"/>
  <c r="C102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D84" i="5"/>
  <c r="C84" i="5"/>
  <c r="C79" i="5" s="1"/>
  <c r="E83" i="5"/>
  <c r="E79" i="5" s="1"/>
  <c r="D83" i="5"/>
  <c r="D79" i="5"/>
  <c r="C83" i="5"/>
  <c r="E75" i="5"/>
  <c r="D75" i="5"/>
  <c r="D88" i="5"/>
  <c r="D90" i="5" s="1"/>
  <c r="D86" i="5" s="1"/>
  <c r="C75" i="5"/>
  <c r="C88" i="5"/>
  <c r="C90" i="5" s="1"/>
  <c r="C86" i="5" s="1"/>
  <c r="E74" i="5"/>
  <c r="D74" i="5"/>
  <c r="C74" i="5"/>
  <c r="E67" i="5"/>
  <c r="D67" i="5"/>
  <c r="C67" i="5"/>
  <c r="E38" i="5"/>
  <c r="E43" i="5" s="1"/>
  <c r="D38" i="5"/>
  <c r="C38" i="5"/>
  <c r="C49" i="5" s="1"/>
  <c r="C53" i="5"/>
  <c r="C43" i="5"/>
  <c r="E33" i="5"/>
  <c r="E34" i="5" s="1"/>
  <c r="D33" i="5"/>
  <c r="D34" i="5" s="1"/>
  <c r="E26" i="5"/>
  <c r="D26" i="5"/>
  <c r="C26" i="5"/>
  <c r="E13" i="5"/>
  <c r="D13" i="5"/>
  <c r="D25" i="5" s="1"/>
  <c r="D27" i="5" s="1"/>
  <c r="D15" i="5"/>
  <c r="C13" i="5"/>
  <c r="C25" i="5" s="1"/>
  <c r="C27" i="5" s="1"/>
  <c r="C21" i="5" s="1"/>
  <c r="C15" i="5"/>
  <c r="E174" i="4"/>
  <c r="F174" i="4"/>
  <c r="D171" i="4"/>
  <c r="E171" i="4"/>
  <c r="C171" i="4"/>
  <c r="E170" i="4"/>
  <c r="F170" i="4" s="1"/>
  <c r="E169" i="4"/>
  <c r="F169" i="4" s="1"/>
  <c r="F168" i="4"/>
  <c r="E168" i="4"/>
  <c r="E167" i="4"/>
  <c r="F167" i="4" s="1"/>
  <c r="E166" i="4"/>
  <c r="F166" i="4" s="1"/>
  <c r="E165" i="4"/>
  <c r="F165" i="4" s="1"/>
  <c r="F164" i="4"/>
  <c r="E164" i="4"/>
  <c r="F163" i="4"/>
  <c r="E163" i="4"/>
  <c r="F162" i="4"/>
  <c r="E162" i="4"/>
  <c r="E161" i="4"/>
  <c r="F161" i="4" s="1"/>
  <c r="F160" i="4"/>
  <c r="E160" i="4"/>
  <c r="E159" i="4"/>
  <c r="F159" i="4" s="1"/>
  <c r="E158" i="4"/>
  <c r="F158" i="4" s="1"/>
  <c r="D155" i="4"/>
  <c r="E155" i="4" s="1"/>
  <c r="C155" i="4"/>
  <c r="F155" i="4" s="1"/>
  <c r="F154" i="4"/>
  <c r="E154" i="4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F145" i="4"/>
  <c r="E145" i="4"/>
  <c r="E144" i="4"/>
  <c r="F144" i="4" s="1"/>
  <c r="E143" i="4"/>
  <c r="F143" i="4" s="1"/>
  <c r="E142" i="4"/>
  <c r="F142" i="4" s="1"/>
  <c r="F141" i="4"/>
  <c r="E141" i="4"/>
  <c r="F140" i="4"/>
  <c r="E140" i="4"/>
  <c r="E139" i="4"/>
  <c r="F139" i="4" s="1"/>
  <c r="E138" i="4"/>
  <c r="F138" i="4" s="1"/>
  <c r="F137" i="4"/>
  <c r="E137" i="4"/>
  <c r="F136" i="4"/>
  <c r="E136" i="4"/>
  <c r="F135" i="4"/>
  <c r="E135" i="4"/>
  <c r="E134" i="4"/>
  <c r="F134" i="4" s="1"/>
  <c r="E133" i="4"/>
  <c r="F133" i="4" s="1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E118" i="4" s="1"/>
  <c r="C118" i="4"/>
  <c r="F117" i="4"/>
  <c r="E117" i="4"/>
  <c r="E116" i="4"/>
  <c r="F116" i="4" s="1"/>
  <c r="E115" i="4"/>
  <c r="F115" i="4" s="1"/>
  <c r="E114" i="4"/>
  <c r="F114" i="4" s="1"/>
  <c r="F113" i="4"/>
  <c r="E113" i="4"/>
  <c r="F112" i="4"/>
  <c r="E112" i="4"/>
  <c r="D109" i="4"/>
  <c r="E109" i="4" s="1"/>
  <c r="C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F102" i="4"/>
  <c r="E102" i="4"/>
  <c r="E101" i="4"/>
  <c r="F101" i="4" s="1"/>
  <c r="E100" i="4"/>
  <c r="F100" i="4" s="1"/>
  <c r="E99" i="4"/>
  <c r="F99" i="4" s="1"/>
  <c r="E98" i="4"/>
  <c r="F98" i="4" s="1"/>
  <c r="E97" i="4"/>
  <c r="F97" i="4" s="1"/>
  <c r="F96" i="4"/>
  <c r="E96" i="4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C78" i="4"/>
  <c r="E77" i="4"/>
  <c r="F77" i="4" s="1"/>
  <c r="F76" i="4"/>
  <c r="E76" i="4"/>
  <c r="E75" i="4"/>
  <c r="F75" i="4" s="1"/>
  <c r="E74" i="4"/>
  <c r="F74" i="4" s="1"/>
  <c r="E73" i="4"/>
  <c r="F73" i="4" s="1"/>
  <c r="E72" i="4"/>
  <c r="F72" i="4" s="1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F58" i="4"/>
  <c r="E58" i="4"/>
  <c r="E57" i="4"/>
  <c r="F57" i="4" s="1"/>
  <c r="F56" i="4"/>
  <c r="E56" i="4"/>
  <c r="F55" i="4"/>
  <c r="E55" i="4"/>
  <c r="F54" i="4"/>
  <c r="E54" i="4"/>
  <c r="E53" i="4"/>
  <c r="F53" i="4" s="1"/>
  <c r="F50" i="4"/>
  <c r="E50" i="4"/>
  <c r="E47" i="4"/>
  <c r="F47" i="4" s="1"/>
  <c r="F44" i="4"/>
  <c r="E44" i="4"/>
  <c r="D41" i="4"/>
  <c r="E41" i="4" s="1"/>
  <c r="C41" i="4"/>
  <c r="F41" i="4" s="1"/>
  <c r="F40" i="4"/>
  <c r="E40" i="4"/>
  <c r="F39" i="4"/>
  <c r="E39" i="4"/>
  <c r="E38" i="4"/>
  <c r="F38" i="4" s="1"/>
  <c r="D35" i="4"/>
  <c r="C35" i="4"/>
  <c r="F34" i="4"/>
  <c r="E34" i="4"/>
  <c r="E33" i="4"/>
  <c r="F33" i="4" s="1"/>
  <c r="D30" i="4"/>
  <c r="E30" i="4" s="1"/>
  <c r="C30" i="4"/>
  <c r="F30" i="4" s="1"/>
  <c r="E29" i="4"/>
  <c r="F29" i="4" s="1"/>
  <c r="E28" i="4"/>
  <c r="F28" i="4"/>
  <c r="E27" i="4"/>
  <c r="F27" i="4"/>
  <c r="D24" i="4"/>
  <c r="E24" i="4" s="1"/>
  <c r="C24" i="4"/>
  <c r="E23" i="4"/>
  <c r="F23" i="4"/>
  <c r="E22" i="4"/>
  <c r="F22" i="4"/>
  <c r="E21" i="4"/>
  <c r="F21" i="4"/>
  <c r="D18" i="4"/>
  <c r="C18" i="4"/>
  <c r="E18" i="4" s="1"/>
  <c r="F17" i="4"/>
  <c r="E17" i="4"/>
  <c r="E16" i="4"/>
  <c r="F16" i="4" s="1"/>
  <c r="F15" i="4"/>
  <c r="E15" i="4"/>
  <c r="D179" i="3"/>
  <c r="E179" i="3" s="1"/>
  <c r="C179" i="3"/>
  <c r="F178" i="3"/>
  <c r="E178" i="3"/>
  <c r="E177" i="3"/>
  <c r="F177" i="3" s="1"/>
  <c r="E176" i="3"/>
  <c r="F176" i="3"/>
  <c r="E175" i="3"/>
  <c r="F175" i="3" s="1"/>
  <c r="E174" i="3"/>
  <c r="F174" i="3"/>
  <c r="E173" i="3"/>
  <c r="F173" i="3" s="1"/>
  <c r="E172" i="3"/>
  <c r="F172" i="3"/>
  <c r="E171" i="3"/>
  <c r="F171" i="3" s="1"/>
  <c r="E170" i="3"/>
  <c r="F170" i="3"/>
  <c r="E169" i="3"/>
  <c r="F169" i="3" s="1"/>
  <c r="E168" i="3"/>
  <c r="F168" i="3"/>
  <c r="D166" i="3"/>
  <c r="C166" i="3"/>
  <c r="F165" i="3"/>
  <c r="E165" i="3"/>
  <c r="E164" i="3"/>
  <c r="F164" i="3"/>
  <c r="E163" i="3"/>
  <c r="F163" i="3" s="1"/>
  <c r="E162" i="3"/>
  <c r="F162" i="3"/>
  <c r="E161" i="3"/>
  <c r="F161" i="3" s="1"/>
  <c r="E160" i="3"/>
  <c r="F160" i="3"/>
  <c r="E159" i="3"/>
  <c r="F159" i="3" s="1"/>
  <c r="E158" i="3"/>
  <c r="F158" i="3"/>
  <c r="E157" i="3"/>
  <c r="F157" i="3" s="1"/>
  <c r="E156" i="3"/>
  <c r="F156" i="3"/>
  <c r="E155" i="3"/>
  <c r="F155" i="3" s="1"/>
  <c r="D153" i="3"/>
  <c r="C153" i="3"/>
  <c r="E153" i="3" s="1"/>
  <c r="F152" i="3"/>
  <c r="E152" i="3"/>
  <c r="E151" i="3"/>
  <c r="F151" i="3" s="1"/>
  <c r="E150" i="3"/>
  <c r="F150" i="3" s="1"/>
  <c r="E149" i="3"/>
  <c r="F149" i="3" s="1"/>
  <c r="E148" i="3"/>
  <c r="F148" i="3"/>
  <c r="E147" i="3"/>
  <c r="F147" i="3" s="1"/>
  <c r="E146" i="3"/>
  <c r="F146" i="3"/>
  <c r="E145" i="3"/>
  <c r="F145" i="3" s="1"/>
  <c r="E144" i="3"/>
  <c r="F144" i="3"/>
  <c r="E143" i="3"/>
  <c r="F143" i="3" s="1"/>
  <c r="E142" i="3"/>
  <c r="F142" i="3"/>
  <c r="D137" i="3"/>
  <c r="E137" i="3" s="1"/>
  <c r="C137" i="3"/>
  <c r="F137" i="3" s="1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 s="1"/>
  <c r="C94" i="3"/>
  <c r="F94" i="3" s="1"/>
  <c r="D93" i="3"/>
  <c r="E93" i="3"/>
  <c r="C93" i="3"/>
  <c r="D92" i="3"/>
  <c r="E92" i="3" s="1"/>
  <c r="F92" i="3" s="1"/>
  <c r="C92" i="3"/>
  <c r="D91" i="3"/>
  <c r="E91" i="3"/>
  <c r="C91" i="3"/>
  <c r="D90" i="3"/>
  <c r="E90" i="3" s="1"/>
  <c r="C90" i="3"/>
  <c r="D89" i="3"/>
  <c r="E89" i="3"/>
  <c r="C89" i="3"/>
  <c r="D88" i="3"/>
  <c r="E88" i="3" s="1"/>
  <c r="F88" i="3" s="1"/>
  <c r="C88" i="3"/>
  <c r="D87" i="3"/>
  <c r="E87" i="3"/>
  <c r="C87" i="3"/>
  <c r="D86" i="3"/>
  <c r="E86" i="3" s="1"/>
  <c r="C86" i="3"/>
  <c r="D85" i="3"/>
  <c r="E85" i="3"/>
  <c r="C85" i="3"/>
  <c r="D84" i="3"/>
  <c r="E84" i="3" s="1"/>
  <c r="F84" i="3" s="1"/>
  <c r="C84" i="3"/>
  <c r="D81" i="3"/>
  <c r="E81" i="3"/>
  <c r="C81" i="3"/>
  <c r="F80" i="3"/>
  <c r="E80" i="3"/>
  <c r="F79" i="3"/>
  <c r="E79" i="3"/>
  <c r="E78" i="3"/>
  <c r="F78" i="3" s="1"/>
  <c r="F77" i="3"/>
  <c r="E77" i="3"/>
  <c r="E76" i="3"/>
  <c r="F76" i="3" s="1"/>
  <c r="F75" i="3"/>
  <c r="E75" i="3"/>
  <c r="E74" i="3"/>
  <c r="F74" i="3" s="1"/>
  <c r="F73" i="3"/>
  <c r="E73" i="3"/>
  <c r="E72" i="3"/>
  <c r="F72" i="3" s="1"/>
  <c r="F71" i="3"/>
  <c r="E71" i="3"/>
  <c r="E70" i="3"/>
  <c r="F70" i="3" s="1"/>
  <c r="D68" i="3"/>
  <c r="C68" i="3"/>
  <c r="F67" i="3"/>
  <c r="E67" i="3"/>
  <c r="E66" i="3"/>
  <c r="F66" i="3" s="1"/>
  <c r="F65" i="3"/>
  <c r="E65" i="3"/>
  <c r="E64" i="3"/>
  <c r="F64" i="3" s="1"/>
  <c r="F63" i="3"/>
  <c r="E63" i="3"/>
  <c r="E62" i="3"/>
  <c r="F62" i="3" s="1"/>
  <c r="F61" i="3"/>
  <c r="E61" i="3"/>
  <c r="E60" i="3"/>
  <c r="F60" i="3" s="1"/>
  <c r="F59" i="3"/>
  <c r="E59" i="3"/>
  <c r="E58" i="3"/>
  <c r="F58" i="3" s="1"/>
  <c r="F57" i="3"/>
  <c r="E57" i="3"/>
  <c r="F51" i="3"/>
  <c r="D51" i="3"/>
  <c r="E51" i="3"/>
  <c r="C51" i="3"/>
  <c r="D50" i="3"/>
  <c r="E50" i="3" s="1"/>
  <c r="C50" i="3"/>
  <c r="F50" i="3" s="1"/>
  <c r="D49" i="3"/>
  <c r="E49" i="3" s="1"/>
  <c r="C49" i="3"/>
  <c r="F49" i="3" s="1"/>
  <c r="D48" i="3"/>
  <c r="E48" i="3" s="1"/>
  <c r="C48" i="3"/>
  <c r="F48" i="3" s="1"/>
  <c r="D47" i="3"/>
  <c r="E47" i="3" s="1"/>
  <c r="C47" i="3"/>
  <c r="F47" i="3" s="1"/>
  <c r="D46" i="3"/>
  <c r="E46" i="3" s="1"/>
  <c r="C46" i="3"/>
  <c r="F46" i="3" s="1"/>
  <c r="D45" i="3"/>
  <c r="E45" i="3" s="1"/>
  <c r="C45" i="3"/>
  <c r="F45" i="3" s="1"/>
  <c r="D44" i="3"/>
  <c r="E44" i="3" s="1"/>
  <c r="C44" i="3"/>
  <c r="F44" i="3" s="1"/>
  <c r="D43" i="3"/>
  <c r="E43" i="3" s="1"/>
  <c r="C43" i="3"/>
  <c r="F43" i="3" s="1"/>
  <c r="D42" i="3"/>
  <c r="E42" i="3" s="1"/>
  <c r="C42" i="3"/>
  <c r="F42" i="3" s="1"/>
  <c r="D41" i="3"/>
  <c r="E41" i="3" s="1"/>
  <c r="C41" i="3"/>
  <c r="F41" i="3" s="1"/>
  <c r="D38" i="3"/>
  <c r="E38" i="3" s="1"/>
  <c r="C38" i="3"/>
  <c r="F38" i="3" s="1"/>
  <c r="F37" i="3"/>
  <c r="E37" i="3"/>
  <c r="F36" i="3"/>
  <c r="E36" i="3"/>
  <c r="E35" i="3"/>
  <c r="F35" i="3" s="1"/>
  <c r="F34" i="3"/>
  <c r="E34" i="3"/>
  <c r="E33" i="3"/>
  <c r="F33" i="3" s="1"/>
  <c r="F32" i="3"/>
  <c r="E32" i="3"/>
  <c r="E31" i="3"/>
  <c r="F31" i="3" s="1"/>
  <c r="F30" i="3"/>
  <c r="E30" i="3"/>
  <c r="E29" i="3"/>
  <c r="F29" i="3" s="1"/>
  <c r="F28" i="3"/>
  <c r="E28" i="3"/>
  <c r="E27" i="3"/>
  <c r="F27" i="3" s="1"/>
  <c r="D25" i="3"/>
  <c r="C25" i="3"/>
  <c r="F24" i="3"/>
  <c r="E24" i="3"/>
  <c r="E23" i="3"/>
  <c r="F23" i="3" s="1"/>
  <c r="F22" i="3"/>
  <c r="E22" i="3"/>
  <c r="E21" i="3"/>
  <c r="F21" i="3" s="1"/>
  <c r="F20" i="3"/>
  <c r="E20" i="3"/>
  <c r="E19" i="3"/>
  <c r="F19" i="3" s="1"/>
  <c r="F18" i="3"/>
  <c r="E18" i="3"/>
  <c r="E17" i="3"/>
  <c r="F17" i="3" s="1"/>
  <c r="F16" i="3"/>
  <c r="E16" i="3"/>
  <c r="E15" i="3"/>
  <c r="F15" i="3" s="1"/>
  <c r="F14" i="3"/>
  <c r="E14" i="3"/>
  <c r="E49" i="2"/>
  <c r="F49" i="2" s="1"/>
  <c r="D46" i="2"/>
  <c r="C46" i="2"/>
  <c r="F45" i="2"/>
  <c r="E45" i="2"/>
  <c r="E44" i="2"/>
  <c r="F44" i="2" s="1"/>
  <c r="D39" i="2"/>
  <c r="C39" i="2"/>
  <c r="F38" i="2"/>
  <c r="E38" i="2"/>
  <c r="F37" i="2"/>
  <c r="E37" i="2"/>
  <c r="F36" i="2"/>
  <c r="E36" i="2"/>
  <c r="D31" i="2"/>
  <c r="E31" i="2" s="1"/>
  <c r="C31" i="2"/>
  <c r="F31" i="2" s="1"/>
  <c r="E30" i="2"/>
  <c r="F30" i="2" s="1"/>
  <c r="F29" i="2"/>
  <c r="E29" i="2"/>
  <c r="E28" i="2"/>
  <c r="F28" i="2" s="1"/>
  <c r="F27" i="2"/>
  <c r="E27" i="2"/>
  <c r="E26" i="2"/>
  <c r="F26" i="2" s="1"/>
  <c r="F25" i="2"/>
  <c r="E25" i="2"/>
  <c r="E24" i="2"/>
  <c r="F24" i="2" s="1"/>
  <c r="F23" i="2"/>
  <c r="E23" i="2"/>
  <c r="E22" i="2"/>
  <c r="F22" i="2" s="1"/>
  <c r="E18" i="2"/>
  <c r="F18" i="2" s="1"/>
  <c r="E17" i="2"/>
  <c r="F17" i="2" s="1"/>
  <c r="D16" i="2"/>
  <c r="D19" i="2" s="1"/>
  <c r="D33" i="2" s="1"/>
  <c r="D41" i="2" s="1"/>
  <c r="C16" i="2"/>
  <c r="C19" i="2" s="1"/>
  <c r="F15" i="2"/>
  <c r="E15" i="2"/>
  <c r="E14" i="2"/>
  <c r="F14" i="2" s="1"/>
  <c r="E13" i="2"/>
  <c r="F13" i="2" s="1"/>
  <c r="E12" i="2"/>
  <c r="F12" i="2"/>
  <c r="D73" i="1"/>
  <c r="C73" i="1"/>
  <c r="E73" i="1" s="1"/>
  <c r="E72" i="1"/>
  <c r="F72" i="1" s="1"/>
  <c r="E71" i="1"/>
  <c r="F71" i="1"/>
  <c r="E70" i="1"/>
  <c r="F70" i="1" s="1"/>
  <c r="F67" i="1"/>
  <c r="E67" i="1"/>
  <c r="E64" i="1"/>
  <c r="F64" i="1"/>
  <c r="E63" i="1"/>
  <c r="F63" i="1"/>
  <c r="D61" i="1"/>
  <c r="D65" i="1"/>
  <c r="C61" i="1"/>
  <c r="C65" i="1"/>
  <c r="F60" i="1"/>
  <c r="E60" i="1"/>
  <c r="E59" i="1"/>
  <c r="F59" i="1"/>
  <c r="D56" i="1"/>
  <c r="C56" i="1"/>
  <c r="C75" i="1" s="1"/>
  <c r="F55" i="1"/>
  <c r="E55" i="1"/>
  <c r="F54" i="1"/>
  <c r="E54" i="1"/>
  <c r="E53" i="1"/>
  <c r="F53" i="1"/>
  <c r="F52" i="1"/>
  <c r="E52" i="1"/>
  <c r="E51" i="1"/>
  <c r="F51" i="1"/>
  <c r="E50" i="1"/>
  <c r="F50" i="1" s="1"/>
  <c r="A50" i="1"/>
  <c r="A51" i="1"/>
  <c r="A52" i="1" s="1"/>
  <c r="A53" i="1" s="1"/>
  <c r="A54" i="1" s="1"/>
  <c r="A55" i="1" s="1"/>
  <c r="E49" i="1"/>
  <c r="F49" i="1"/>
  <c r="E40" i="1"/>
  <c r="F40" i="1" s="1"/>
  <c r="D38" i="1"/>
  <c r="D41" i="1"/>
  <c r="C38" i="1"/>
  <c r="E37" i="1"/>
  <c r="F37" i="1" s="1"/>
  <c r="F36" i="1"/>
  <c r="E36" i="1"/>
  <c r="E33" i="1"/>
  <c r="F33" i="1" s="1"/>
  <c r="F32" i="1"/>
  <c r="E32" i="1"/>
  <c r="E31" i="1"/>
  <c r="F31" i="1" s="1"/>
  <c r="D29" i="1"/>
  <c r="C29" i="1"/>
  <c r="F28" i="1"/>
  <c r="E28" i="1"/>
  <c r="E27" i="1"/>
  <c r="F27" i="1" s="1"/>
  <c r="F26" i="1"/>
  <c r="E26" i="1"/>
  <c r="F25" i="1"/>
  <c r="E25" i="1"/>
  <c r="D22" i="1"/>
  <c r="C22" i="1"/>
  <c r="E21" i="1"/>
  <c r="F21" i="1"/>
  <c r="E20" i="1"/>
  <c r="F20" i="1"/>
  <c r="E19" i="1"/>
  <c r="F19" i="1"/>
  <c r="E18" i="1"/>
  <c r="F18" i="1"/>
  <c r="F17" i="1"/>
  <c r="E17" i="1"/>
  <c r="F16" i="1"/>
  <c r="E16" i="1"/>
  <c r="E15" i="1"/>
  <c r="F15" i="1"/>
  <c r="E14" i="1"/>
  <c r="F14" i="1"/>
  <c r="E13" i="1"/>
  <c r="F13" i="1"/>
  <c r="D277" i="14"/>
  <c r="D284" i="14"/>
  <c r="D239" i="14"/>
  <c r="F296" i="14"/>
  <c r="D192" i="14"/>
  <c r="D261" i="14"/>
  <c r="C83" i="4"/>
  <c r="D53" i="5"/>
  <c r="D49" i="5"/>
  <c r="D43" i="5"/>
  <c r="E88" i="5"/>
  <c r="E90" i="5" s="1"/>
  <c r="E86" i="5"/>
  <c r="E77" i="5"/>
  <c r="E71" i="5"/>
  <c r="E25" i="5"/>
  <c r="E27" i="5"/>
  <c r="E21" i="5" s="1"/>
  <c r="E15" i="5"/>
  <c r="C121" i="7"/>
  <c r="E121" i="7" s="1"/>
  <c r="F33" i="11"/>
  <c r="H17" i="11"/>
  <c r="F31" i="11"/>
  <c r="E29" i="1"/>
  <c r="F29" i="1" s="1"/>
  <c r="E56" i="1"/>
  <c r="E39" i="2"/>
  <c r="F39" i="2" s="1"/>
  <c r="E46" i="2"/>
  <c r="F46" i="2" s="1"/>
  <c r="E25" i="3"/>
  <c r="F25" i="3" s="1"/>
  <c r="E68" i="3"/>
  <c r="E166" i="3"/>
  <c r="F166" i="3" s="1"/>
  <c r="F23" i="6"/>
  <c r="E76" i="6"/>
  <c r="F76" i="6" s="1"/>
  <c r="E101" i="6"/>
  <c r="F128" i="6"/>
  <c r="E140" i="5"/>
  <c r="E136" i="5"/>
  <c r="E139" i="5"/>
  <c r="E135" i="5"/>
  <c r="E138" i="5"/>
  <c r="E157" i="5"/>
  <c r="E153" i="5"/>
  <c r="E156" i="5"/>
  <c r="E152" i="5"/>
  <c r="E155" i="5"/>
  <c r="E71" i="7"/>
  <c r="F71" i="7"/>
  <c r="E113" i="7"/>
  <c r="F113" i="7" s="1"/>
  <c r="D122" i="7"/>
  <c r="E24" i="14"/>
  <c r="F24" i="14" s="1"/>
  <c r="E60" i="14"/>
  <c r="F60" i="14" s="1"/>
  <c r="C61" i="14"/>
  <c r="D24" i="5"/>
  <c r="D20" i="5"/>
  <c r="D17" i="5"/>
  <c r="D21" i="5"/>
  <c r="C176" i="4"/>
  <c r="F171" i="4"/>
  <c r="C21" i="10"/>
  <c r="C22" i="10"/>
  <c r="C48" i="10"/>
  <c r="C42" i="10"/>
  <c r="C59" i="10"/>
  <c r="C61" i="10"/>
  <c r="C57" i="10" s="1"/>
  <c r="F56" i="1"/>
  <c r="F68" i="3"/>
  <c r="E61" i="1"/>
  <c r="F61" i="1"/>
  <c r="F73" i="1"/>
  <c r="E16" i="2"/>
  <c r="F16" i="2"/>
  <c r="E111" i="3"/>
  <c r="F111" i="3"/>
  <c r="F18" i="4"/>
  <c r="E35" i="4"/>
  <c r="F35" i="4" s="1"/>
  <c r="F59" i="4"/>
  <c r="E78" i="4"/>
  <c r="F78" i="4"/>
  <c r="D57" i="5"/>
  <c r="D62" i="5"/>
  <c r="E137" i="5"/>
  <c r="C149" i="5"/>
  <c r="D149" i="5"/>
  <c r="E154" i="5"/>
  <c r="C166" i="5"/>
  <c r="D166" i="5"/>
  <c r="F24" i="6"/>
  <c r="E75" i="6"/>
  <c r="F75" i="6" s="1"/>
  <c r="E102" i="6"/>
  <c r="F127" i="6"/>
  <c r="E59" i="7"/>
  <c r="F59" i="7" s="1"/>
  <c r="E116" i="7"/>
  <c r="F116" i="7" s="1"/>
  <c r="F120" i="7"/>
  <c r="F65" i="8"/>
  <c r="E75" i="12"/>
  <c r="F75" i="12"/>
  <c r="E72" i="7"/>
  <c r="F72" i="7"/>
  <c r="C24" i="10"/>
  <c r="C20" i="10"/>
  <c r="E137" i="14"/>
  <c r="F137" i="14"/>
  <c r="C99" i="15"/>
  <c r="C95" i="15"/>
  <c r="C88" i="15"/>
  <c r="C84" i="15"/>
  <c r="C258" i="15"/>
  <c r="C101" i="15"/>
  <c r="C97" i="15"/>
  <c r="C86" i="15"/>
  <c r="C83" i="15"/>
  <c r="C100" i="15"/>
  <c r="C89" i="15"/>
  <c r="C98" i="15"/>
  <c r="C87" i="15"/>
  <c r="C96" i="15"/>
  <c r="C102" i="15" s="1"/>
  <c r="C85" i="15"/>
  <c r="E24" i="10"/>
  <c r="E17" i="10"/>
  <c r="E28" i="10" s="1"/>
  <c r="E70" i="10" s="1"/>
  <c r="E72" i="10" s="1"/>
  <c r="E69" i="10" s="1"/>
  <c r="E31" i="11"/>
  <c r="E33" i="11"/>
  <c r="E36" i="11" s="1"/>
  <c r="E38" i="11" s="1"/>
  <c r="C91" i="14"/>
  <c r="E23" i="14"/>
  <c r="F23" i="14" s="1"/>
  <c r="C62" i="14"/>
  <c r="F32" i="14"/>
  <c r="E76" i="14"/>
  <c r="F76" i="14" s="1"/>
  <c r="E120" i="14"/>
  <c r="F120" i="14" s="1"/>
  <c r="C192" i="14"/>
  <c r="E192" i="14" s="1"/>
  <c r="C193" i="14"/>
  <c r="C124" i="14"/>
  <c r="F123" i="14"/>
  <c r="C146" i="14"/>
  <c r="E146" i="14" s="1"/>
  <c r="F144" i="14"/>
  <c r="E170" i="14"/>
  <c r="F170" i="14" s="1"/>
  <c r="D83" i="4"/>
  <c r="E83" i="4" s="1"/>
  <c r="F35" i="7"/>
  <c r="F60" i="7"/>
  <c r="E84" i="7"/>
  <c r="F117" i="7"/>
  <c r="D33" i="9"/>
  <c r="E25" i="10"/>
  <c r="E27" i="10" s="1"/>
  <c r="D48" i="10"/>
  <c r="D42" i="10" s="1"/>
  <c r="F84" i="12"/>
  <c r="F67" i="14"/>
  <c r="F110" i="14"/>
  <c r="F164" i="14"/>
  <c r="D41" i="8"/>
  <c r="E38" i="8"/>
  <c r="C282" i="14"/>
  <c r="C266" i="14"/>
  <c r="E20" i="14"/>
  <c r="F20" i="14" s="1"/>
  <c r="E31" i="14"/>
  <c r="F31" i="14" s="1"/>
  <c r="E37" i="14"/>
  <c r="F37" i="14" s="1"/>
  <c r="C68" i="14"/>
  <c r="E68" i="14" s="1"/>
  <c r="E66" i="14"/>
  <c r="F66" i="14"/>
  <c r="E88" i="14"/>
  <c r="F88" i="14"/>
  <c r="C111" i="14"/>
  <c r="E109" i="14"/>
  <c r="F109" i="14" s="1"/>
  <c r="E180" i="14"/>
  <c r="F180" i="14" s="1"/>
  <c r="C181" i="14"/>
  <c r="E181" i="14" s="1"/>
  <c r="D176" i="4"/>
  <c r="E176" i="4"/>
  <c r="F176" i="4" s="1"/>
  <c r="E49" i="5"/>
  <c r="C57" i="5"/>
  <c r="C62" i="5" s="1"/>
  <c r="E53" i="5"/>
  <c r="F36" i="7"/>
  <c r="F47" i="7"/>
  <c r="F48" i="7"/>
  <c r="F107" i="7"/>
  <c r="F114" i="7"/>
  <c r="F118" i="7"/>
  <c r="C122" i="7"/>
  <c r="E99" i="12"/>
  <c r="F99" i="12" s="1"/>
  <c r="F44" i="14"/>
  <c r="F53" i="14"/>
  <c r="F130" i="14"/>
  <c r="F38" i="8"/>
  <c r="C41" i="8"/>
  <c r="E41" i="8"/>
  <c r="G36" i="11"/>
  <c r="G38" i="11"/>
  <c r="G40" i="11" s="1"/>
  <c r="I33" i="11"/>
  <c r="I36" i="11" s="1"/>
  <c r="I38" i="11"/>
  <c r="I40" i="11" s="1"/>
  <c r="E52" i="14"/>
  <c r="F52" i="14" s="1"/>
  <c r="E95" i="14"/>
  <c r="F95" i="14" s="1"/>
  <c r="E129" i="14"/>
  <c r="F129" i="14" s="1"/>
  <c r="E203" i="14"/>
  <c r="C283" i="14"/>
  <c r="C254" i="14"/>
  <c r="E254" i="14" s="1"/>
  <c r="C267" i="14"/>
  <c r="F203" i="14"/>
  <c r="F108" i="7"/>
  <c r="F115" i="7"/>
  <c r="F119" i="7"/>
  <c r="E31" i="9"/>
  <c r="F31" i="9" s="1"/>
  <c r="C80" i="10"/>
  <c r="C77" i="10" s="1"/>
  <c r="F100" i="14"/>
  <c r="C138" i="14"/>
  <c r="C140" i="14"/>
  <c r="F155" i="14"/>
  <c r="C278" i="14"/>
  <c r="C262" i="14"/>
  <c r="C255" i="14"/>
  <c r="E189" i="14"/>
  <c r="C264" i="14"/>
  <c r="C280" i="14"/>
  <c r="C200" i="14"/>
  <c r="C290" i="14"/>
  <c r="C274" i="14"/>
  <c r="D22" i="15"/>
  <c r="E21" i="15"/>
  <c r="D283" i="15"/>
  <c r="C71" i="15"/>
  <c r="C76" i="15" s="1"/>
  <c r="C77" i="15" s="1"/>
  <c r="C65" i="15"/>
  <c r="C289" i="15"/>
  <c r="C144" i="15"/>
  <c r="C145" i="15" s="1"/>
  <c r="C169" i="15" s="1"/>
  <c r="C175" i="15"/>
  <c r="D260" i="15"/>
  <c r="E260" i="15" s="1"/>
  <c r="E195" i="15"/>
  <c r="D320" i="15"/>
  <c r="E320" i="15" s="1"/>
  <c r="E316" i="15"/>
  <c r="D330" i="15"/>
  <c r="C46" i="19"/>
  <c r="C40" i="19"/>
  <c r="C36" i="19"/>
  <c r="C30" i="19"/>
  <c r="C111" i="19"/>
  <c r="C54" i="19"/>
  <c r="D109" i="19"/>
  <c r="D108" i="19"/>
  <c r="E109" i="19"/>
  <c r="E108" i="19"/>
  <c r="E226" i="14"/>
  <c r="F226" i="14" s="1"/>
  <c r="C239" i="14"/>
  <c r="E239" i="14" s="1"/>
  <c r="E36" i="15"/>
  <c r="D43" i="15"/>
  <c r="D259" i="15" s="1"/>
  <c r="D263" i="15" s="1"/>
  <c r="E54" i="15"/>
  <c r="E220" i="15"/>
  <c r="C253" i="15"/>
  <c r="E46" i="17"/>
  <c r="C108" i="19"/>
  <c r="C109" i="19"/>
  <c r="D254" i="14"/>
  <c r="F238" i="14"/>
  <c r="C306" i="14"/>
  <c r="E244" i="15"/>
  <c r="D41" i="17"/>
  <c r="C33" i="15"/>
  <c r="E33" i="15" s="1"/>
  <c r="C189" i="15"/>
  <c r="C261" i="15"/>
  <c r="E261" i="15"/>
  <c r="E228" i="15"/>
  <c r="D104" i="14"/>
  <c r="D174" i="14"/>
  <c r="F229" i="14"/>
  <c r="E175" i="15"/>
  <c r="D245" i="15"/>
  <c r="E245" i="15"/>
  <c r="D163" i="15"/>
  <c r="E163" i="15"/>
  <c r="D156" i="15"/>
  <c r="E151" i="15"/>
  <c r="C217" i="15"/>
  <c r="C241" i="15"/>
  <c r="C242" i="15"/>
  <c r="E242" i="15"/>
  <c r="E219" i="15"/>
  <c r="D243" i="15"/>
  <c r="E243" i="15" s="1"/>
  <c r="D175" i="14"/>
  <c r="D62" i="14"/>
  <c r="D63" i="14" s="1"/>
  <c r="D105" i="14"/>
  <c r="D90" i="14"/>
  <c r="D160" i="14"/>
  <c r="D207" i="14"/>
  <c r="D138" i="14"/>
  <c r="E138" i="14"/>
  <c r="F138" i="14" s="1"/>
  <c r="C206" i="14"/>
  <c r="F189" i="14"/>
  <c r="E191" i="14"/>
  <c r="F191" i="14"/>
  <c r="E198" i="14"/>
  <c r="F198" i="14"/>
  <c r="C215" i="14"/>
  <c r="C227" i="14"/>
  <c r="E227" i="14" s="1"/>
  <c r="F307" i="14"/>
  <c r="C284" i="15"/>
  <c r="E38" i="15"/>
  <c r="E55" i="15"/>
  <c r="E231" i="15"/>
  <c r="D241" i="15"/>
  <c r="E241" i="15" s="1"/>
  <c r="E289" i="15"/>
  <c r="F36" i="17"/>
  <c r="E251" i="15"/>
  <c r="D302" i="15"/>
  <c r="E302" i="15"/>
  <c r="C326" i="15"/>
  <c r="C330" i="15"/>
  <c r="E330" i="15" s="1"/>
  <c r="E16" i="17"/>
  <c r="F16" i="17"/>
  <c r="C20" i="17"/>
  <c r="E20" i="17"/>
  <c r="F20" i="17" s="1"/>
  <c r="E25" i="17"/>
  <c r="F25" i="17"/>
  <c r="C39" i="17"/>
  <c r="C40" i="17"/>
  <c r="C46" i="17"/>
  <c r="F46" i="17"/>
  <c r="E22" i="19"/>
  <c r="C33" i="19"/>
  <c r="D54" i="19"/>
  <c r="C101" i="19"/>
  <c r="C103" i="19" s="1"/>
  <c r="D193" i="14"/>
  <c r="D267" i="14"/>
  <c r="D268" i="14"/>
  <c r="D306" i="14"/>
  <c r="E306" i="14"/>
  <c r="D222" i="15"/>
  <c r="D223" i="15"/>
  <c r="C239" i="15"/>
  <c r="E239" i="15"/>
  <c r="E314" i="15"/>
  <c r="C49" i="16"/>
  <c r="F19" i="17"/>
  <c r="F33" i="17"/>
  <c r="F43" i="17"/>
  <c r="F44" i="17"/>
  <c r="F45" i="17"/>
  <c r="D22" i="19"/>
  <c r="E23" i="19"/>
  <c r="C34" i="19"/>
  <c r="D111" i="19"/>
  <c r="D124" i="14"/>
  <c r="E124" i="14" s="1"/>
  <c r="F124" i="14"/>
  <c r="D200" i="14"/>
  <c r="E200" i="14"/>
  <c r="D206" i="14"/>
  <c r="E206" i="14"/>
  <c r="F206" i="14" s="1"/>
  <c r="D262" i="14"/>
  <c r="D266" i="14"/>
  <c r="E266" i="14" s="1"/>
  <c r="F266" i="14" s="1"/>
  <c r="D274" i="14"/>
  <c r="E274" i="14"/>
  <c r="D280" i="14"/>
  <c r="E301" i="15"/>
  <c r="C22" i="19"/>
  <c r="D30" i="19"/>
  <c r="E33" i="19"/>
  <c r="D36" i="19"/>
  <c r="D40" i="19"/>
  <c r="E101" i="19"/>
  <c r="E103" i="19"/>
  <c r="D199" i="14"/>
  <c r="E199" i="14"/>
  <c r="F199" i="14" s="1"/>
  <c r="D205" i="14"/>
  <c r="E205" i="14" s="1"/>
  <c r="F205" i="14"/>
  <c r="D215" i="14"/>
  <c r="D21" i="14"/>
  <c r="D190" i="14"/>
  <c r="E277" i="14"/>
  <c r="F277" i="14" s="1"/>
  <c r="D279" i="14"/>
  <c r="D287" i="14"/>
  <c r="C141" i="14"/>
  <c r="C322" i="14" s="1"/>
  <c r="F227" i="14"/>
  <c r="E43" i="15"/>
  <c r="F239" i="14"/>
  <c r="D284" i="15"/>
  <c r="E284" i="15" s="1"/>
  <c r="E22" i="15"/>
  <c r="C265" i="14"/>
  <c r="E278" i="14"/>
  <c r="C279" i="14"/>
  <c r="C286" i="14"/>
  <c r="C287" i="14"/>
  <c r="F181" i="14"/>
  <c r="F68" i="14"/>
  <c r="E20" i="10"/>
  <c r="C126" i="14"/>
  <c r="D156" i="5"/>
  <c r="D155" i="5"/>
  <c r="D157" i="5"/>
  <c r="C138" i="5"/>
  <c r="C140" i="5"/>
  <c r="C139" i="5"/>
  <c r="D28" i="5"/>
  <c r="D112" i="5"/>
  <c r="D111" i="5" s="1"/>
  <c r="D43" i="8"/>
  <c r="E122" i="7"/>
  <c r="F122" i="7"/>
  <c r="D270" i="14"/>
  <c r="E267" i="14"/>
  <c r="D255" i="14"/>
  <c r="E255" i="14"/>
  <c r="E215" i="14"/>
  <c r="F215" i="14" s="1"/>
  <c r="D106" i="14"/>
  <c r="D176" i="14"/>
  <c r="C122" i="15"/>
  <c r="C111" i="15"/>
  <c r="C113" i="15"/>
  <c r="C125" i="15"/>
  <c r="C123" i="15"/>
  <c r="C121" i="15"/>
  <c r="C127" i="15"/>
  <c r="F254" i="14"/>
  <c r="E111" i="14"/>
  <c r="F111" i="14"/>
  <c r="C92" i="14"/>
  <c r="D139" i="5"/>
  <c r="D135" i="5"/>
  <c r="D138" i="5"/>
  <c r="D137" i="5"/>
  <c r="D136" i="5"/>
  <c r="D140" i="5"/>
  <c r="C139" i="14"/>
  <c r="D271" i="14"/>
  <c r="D265" i="14"/>
  <c r="E265" i="14" s="1"/>
  <c r="D125" i="14"/>
  <c r="D216" i="14"/>
  <c r="C103" i="15"/>
  <c r="D53" i="19"/>
  <c r="D39" i="19"/>
  <c r="D29" i="19"/>
  <c r="E54" i="19"/>
  <c r="E46" i="19"/>
  <c r="E40" i="19"/>
  <c r="E36" i="19"/>
  <c r="E30" i="19"/>
  <c r="E111" i="19"/>
  <c r="D113" i="19"/>
  <c r="D56" i="19"/>
  <c r="D48" i="19"/>
  <c r="D38" i="19"/>
  <c r="E280" i="14"/>
  <c r="F280" i="14" s="1"/>
  <c r="D194" i="14"/>
  <c r="D195" i="14" s="1"/>
  <c r="E195" i="14" s="1"/>
  <c r="E110" i="19"/>
  <c r="E53" i="19"/>
  <c r="E45" i="19"/>
  <c r="E39" i="19"/>
  <c r="E35" i="19"/>
  <c r="E29" i="19"/>
  <c r="C168" i="15"/>
  <c r="F267" i="14"/>
  <c r="F146" i="14"/>
  <c r="F192" i="14"/>
  <c r="F36" i="11"/>
  <c r="F38" i="11" s="1"/>
  <c r="F40" i="11" s="1"/>
  <c r="H33" i="11"/>
  <c r="H36" i="11"/>
  <c r="H38" i="11" s="1"/>
  <c r="H40" i="11"/>
  <c r="E279" i="14"/>
  <c r="D140" i="14"/>
  <c r="D139" i="14"/>
  <c r="D303" i="15"/>
  <c r="E303" i="15" s="1"/>
  <c r="C284" i="14"/>
  <c r="F41" i="8"/>
  <c r="C43" i="8"/>
  <c r="E141" i="5"/>
  <c r="D252" i="15"/>
  <c r="E252" i="15" s="1"/>
  <c r="C39" i="19"/>
  <c r="C29" i="19"/>
  <c r="C47" i="19" s="1"/>
  <c r="C53" i="19"/>
  <c r="D91" i="14"/>
  <c r="D92" i="14" s="1"/>
  <c r="D113" i="14" s="1"/>
  <c r="E21" i="14"/>
  <c r="F21" i="14" s="1"/>
  <c r="D272" i="14"/>
  <c r="E262" i="14"/>
  <c r="F262" i="14"/>
  <c r="E39" i="17"/>
  <c r="C41" i="17"/>
  <c r="E62" i="14"/>
  <c r="E156" i="15"/>
  <c r="D157" i="15"/>
  <c r="E157" i="15"/>
  <c r="C56" i="19"/>
  <c r="C48" i="19"/>
  <c r="C38" i="19"/>
  <c r="C113" i="19"/>
  <c r="E290" i="14"/>
  <c r="F290" i="14" s="1"/>
  <c r="D41" i="9"/>
  <c r="C194" i="14"/>
  <c r="C63" i="14"/>
  <c r="C155" i="5"/>
  <c r="C154" i="5"/>
  <c r="C157" i="5"/>
  <c r="C153" i="5"/>
  <c r="C156" i="5"/>
  <c r="C152" i="5"/>
  <c r="E24" i="5"/>
  <c r="E20" i="5"/>
  <c r="E17" i="5"/>
  <c r="E112" i="5"/>
  <c r="E111" i="5" s="1"/>
  <c r="D263" i="14"/>
  <c r="E40" i="17"/>
  <c r="E41" i="17" s="1"/>
  <c r="D44" i="15"/>
  <c r="D85" i="15" s="1"/>
  <c r="E85" i="15" s="1"/>
  <c r="E283" i="14"/>
  <c r="F283" i="14"/>
  <c r="E217" i="15"/>
  <c r="E326" i="15"/>
  <c r="C90" i="15"/>
  <c r="C91" i="15" s="1"/>
  <c r="C105" i="15"/>
  <c r="E158" i="5"/>
  <c r="D89" i="15"/>
  <c r="E89" i="15" s="1"/>
  <c r="D258" i="15"/>
  <c r="E258" i="15" s="1"/>
  <c r="C196" i="14"/>
  <c r="C112" i="19"/>
  <c r="E194" i="14"/>
  <c r="F194" i="14" s="1"/>
  <c r="E48" i="19"/>
  <c r="E113" i="19"/>
  <c r="C158" i="5"/>
  <c r="D306" i="15"/>
  <c r="E306" i="15" s="1"/>
  <c r="C127" i="14"/>
  <c r="D141" i="14"/>
  <c r="E140" i="14"/>
  <c r="D47" i="19"/>
  <c r="D112" i="19"/>
  <c r="D48" i="2"/>
  <c r="E48" i="2" s="1"/>
  <c r="D99" i="5"/>
  <c r="D101" i="5"/>
  <c r="D98" i="5" s="1"/>
  <c r="D22" i="5"/>
  <c r="F39" i="17"/>
  <c r="D141" i="5"/>
  <c r="D48" i="9"/>
  <c r="E47" i="19"/>
  <c r="E112" i="19"/>
  <c r="D304" i="14"/>
  <c r="E139" i="14"/>
  <c r="E43" i="8"/>
  <c r="F43" i="8" s="1"/>
  <c r="D324" i="14"/>
  <c r="E92" i="14"/>
  <c r="F92" i="14" s="1"/>
  <c r="D310" i="15"/>
  <c r="E310" i="15" s="1"/>
  <c r="F41" i="17"/>
  <c r="E28" i="5"/>
  <c r="D95" i="15"/>
  <c r="D98" i="15"/>
  <c r="E98" i="15" s="1"/>
  <c r="D300" i="14"/>
  <c r="D253" i="15"/>
  <c r="E253" i="15" s="1"/>
  <c r="F179" i="3"/>
  <c r="C33" i="2"/>
  <c r="E19" i="2"/>
  <c r="F19" i="2" s="1"/>
  <c r="F81" i="3"/>
  <c r="F85" i="3"/>
  <c r="F86" i="3"/>
  <c r="F87" i="3"/>
  <c r="F89" i="3"/>
  <c r="F90" i="3"/>
  <c r="F91" i="3"/>
  <c r="F93" i="3"/>
  <c r="C52" i="3"/>
  <c r="D52" i="3"/>
  <c r="C95" i="3"/>
  <c r="D95" i="3"/>
  <c r="E95" i="3" s="1"/>
  <c r="F95" i="3" s="1"/>
  <c r="F62" i="6"/>
  <c r="F63" i="6"/>
  <c r="F88" i="6"/>
  <c r="F89" i="6"/>
  <c r="F114" i="6"/>
  <c r="F115" i="6"/>
  <c r="F22" i="8"/>
  <c r="F29" i="8"/>
  <c r="C24" i="5"/>
  <c r="C20" i="5"/>
  <c r="C17" i="5"/>
  <c r="F199" i="6"/>
  <c r="C77" i="5"/>
  <c r="C71" i="5"/>
  <c r="E198" i="6"/>
  <c r="F198" i="6"/>
  <c r="E199" i="6"/>
  <c r="C208" i="6"/>
  <c r="F23" i="7"/>
  <c r="F24" i="7"/>
  <c r="F83" i="7"/>
  <c r="E112" i="7"/>
  <c r="F112" i="7"/>
  <c r="D75" i="8"/>
  <c r="E75" i="8"/>
  <c r="F75" i="8" s="1"/>
  <c r="E61" i="8"/>
  <c r="F61" i="8" s="1"/>
  <c r="F16" i="9"/>
  <c r="D25" i="10"/>
  <c r="D27" i="10"/>
  <c r="D15" i="10"/>
  <c r="E57" i="5"/>
  <c r="E62" i="5" s="1"/>
  <c r="D77" i="5"/>
  <c r="D71" i="5" s="1"/>
  <c r="C207" i="6"/>
  <c r="E207" i="6" s="1"/>
  <c r="C69" i="10"/>
  <c r="I17" i="11"/>
  <c r="D31" i="11"/>
  <c r="E23" i="12"/>
  <c r="F23" i="12" s="1"/>
  <c r="E30" i="12"/>
  <c r="E37" i="12"/>
  <c r="F37" i="12"/>
  <c r="E45" i="12"/>
  <c r="F45" i="12"/>
  <c r="E65" i="12"/>
  <c r="F65" i="12"/>
  <c r="F13" i="13"/>
  <c r="E29" i="14"/>
  <c r="F29" i="14" s="1"/>
  <c r="E35" i="14"/>
  <c r="F35" i="14" s="1"/>
  <c r="F47" i="14"/>
  <c r="C48" i="14"/>
  <c r="F58" i="14"/>
  <c r="E59" i="14"/>
  <c r="F59" i="14"/>
  <c r="F101" i="14"/>
  <c r="C102" i="14"/>
  <c r="E102" i="14" s="1"/>
  <c r="F135" i="14"/>
  <c r="F158" i="14"/>
  <c r="C159" i="14"/>
  <c r="C172" i="14"/>
  <c r="E171" i="14"/>
  <c r="F171" i="14"/>
  <c r="E229" i="15"/>
  <c r="E240" i="15"/>
  <c r="C252" i="15"/>
  <c r="C31" i="11"/>
  <c r="H31" i="11" s="1"/>
  <c r="G31" i="11"/>
  <c r="I31" i="11" s="1"/>
  <c r="C38" i="16"/>
  <c r="C127" i="16" s="1"/>
  <c r="C129" i="16"/>
  <c r="C133" i="16" s="1"/>
  <c r="E89" i="14"/>
  <c r="F89" i="14" s="1"/>
  <c r="E179" i="14"/>
  <c r="F179" i="14" s="1"/>
  <c r="C190" i="14"/>
  <c r="E204" i="14"/>
  <c r="F204" i="14"/>
  <c r="C214" i="14"/>
  <c r="E237" i="14"/>
  <c r="F237" i="14" s="1"/>
  <c r="C261" i="14"/>
  <c r="C269" i="14"/>
  <c r="E298" i="14"/>
  <c r="F298" i="14" s="1"/>
  <c r="E311" i="14"/>
  <c r="F311" i="14" s="1"/>
  <c r="C283" i="15"/>
  <c r="E283" i="15" s="1"/>
  <c r="E60" i="15"/>
  <c r="D71" i="15"/>
  <c r="D144" i="15"/>
  <c r="D189" i="15"/>
  <c r="E189" i="15"/>
  <c r="C210" i="15"/>
  <c r="D210" i="15"/>
  <c r="C222" i="15"/>
  <c r="D102" i="19"/>
  <c r="E188" i="14"/>
  <c r="F188" i="14" s="1"/>
  <c r="D65" i="15"/>
  <c r="E139" i="15"/>
  <c r="E216" i="15"/>
  <c r="C22" i="16"/>
  <c r="D285" i="14"/>
  <c r="D286" i="14"/>
  <c r="E286" i="14" s="1"/>
  <c r="F286" i="14"/>
  <c r="C223" i="15"/>
  <c r="E222" i="15"/>
  <c r="C180" i="15"/>
  <c r="C234" i="15"/>
  <c r="C211" i="15"/>
  <c r="C235" i="15" s="1"/>
  <c r="D168" i="15"/>
  <c r="E168" i="15" s="1"/>
  <c r="D145" i="15"/>
  <c r="E145" i="15" s="1"/>
  <c r="C272" i="14"/>
  <c r="C270" i="14"/>
  <c r="C254" i="15"/>
  <c r="C207" i="14"/>
  <c r="C173" i="14"/>
  <c r="C175" i="14" s="1"/>
  <c r="C103" i="14"/>
  <c r="E103" i="14" s="1"/>
  <c r="F102" i="14"/>
  <c r="D24" i="10"/>
  <c r="D17" i="10"/>
  <c r="D28" i="10" s="1"/>
  <c r="D70" i="10" s="1"/>
  <c r="D72" i="10" s="1"/>
  <c r="D69" i="10" s="1"/>
  <c r="E52" i="3"/>
  <c r="C41" i="2"/>
  <c r="E33" i="2"/>
  <c r="F33" i="2" s="1"/>
  <c r="E65" i="15"/>
  <c r="D211" i="15"/>
  <c r="D235" i="15" s="1"/>
  <c r="E235" i="15" s="1"/>
  <c r="D76" i="15"/>
  <c r="E71" i="15"/>
  <c r="C271" i="14"/>
  <c r="E214" i="14"/>
  <c r="F214" i="14" s="1"/>
  <c r="C304" i="14"/>
  <c r="C216" i="14"/>
  <c r="E190" i="14"/>
  <c r="E269" i="14"/>
  <c r="F269" i="14" s="1"/>
  <c r="E159" i="14"/>
  <c r="C161" i="14"/>
  <c r="F159" i="14"/>
  <c r="C160" i="14"/>
  <c r="C125" i="14"/>
  <c r="E48" i="14"/>
  <c r="C90" i="14"/>
  <c r="C195" i="14"/>
  <c r="F48" i="14"/>
  <c r="C49" i="14"/>
  <c r="D20" i="10"/>
  <c r="D21" i="10"/>
  <c r="C112" i="5"/>
  <c r="C111" i="5" s="1"/>
  <c r="C28" i="5"/>
  <c r="C22" i="5" s="1"/>
  <c r="F207" i="6"/>
  <c r="F52" i="3"/>
  <c r="D254" i="15"/>
  <c r="E254" i="15" s="1"/>
  <c r="E22" i="5"/>
  <c r="E99" i="5"/>
  <c r="E101" i="5"/>
  <c r="E98" i="5" s="1"/>
  <c r="C99" i="5"/>
  <c r="C101" i="5" s="1"/>
  <c r="C98" i="5" s="1"/>
  <c r="C50" i="14"/>
  <c r="F195" i="14"/>
  <c r="E160" i="14"/>
  <c r="F160" i="14"/>
  <c r="C162" i="14"/>
  <c r="E216" i="14"/>
  <c r="F216" i="14" s="1"/>
  <c r="E76" i="15"/>
  <c r="D77" i="15"/>
  <c r="D122" i="15" s="1"/>
  <c r="F270" i="14"/>
  <c r="E270" i="14"/>
  <c r="D169" i="15"/>
  <c r="E169" i="15" s="1"/>
  <c r="D181" i="15"/>
  <c r="E223" i="15"/>
  <c r="C273" i="14"/>
  <c r="E211" i="15"/>
  <c r="C48" i="2"/>
  <c r="E41" i="2"/>
  <c r="F41" i="2" s="1"/>
  <c r="C105" i="14"/>
  <c r="F103" i="14"/>
  <c r="E173" i="14"/>
  <c r="F173" i="14"/>
  <c r="C208" i="14"/>
  <c r="C210" i="14" s="1"/>
  <c r="C181" i="15"/>
  <c r="C209" i="14"/>
  <c r="C176" i="14"/>
  <c r="C183" i="14" s="1"/>
  <c r="E105" i="14"/>
  <c r="C106" i="14"/>
  <c r="F48" i="2"/>
  <c r="D125" i="15"/>
  <c r="E125" i="15" s="1"/>
  <c r="D126" i="15"/>
  <c r="D124" i="15"/>
  <c r="D127" i="15"/>
  <c r="E127" i="15" s="1"/>
  <c r="D112" i="15"/>
  <c r="E77" i="15"/>
  <c r="D111" i="15"/>
  <c r="E111" i="15" s="1"/>
  <c r="D109" i="15"/>
  <c r="C197" i="14"/>
  <c r="C70" i="14"/>
  <c r="E122" i="15"/>
  <c r="C113" i="14"/>
  <c r="E113" i="14" s="1"/>
  <c r="F113" i="14" s="1"/>
  <c r="E106" i="14"/>
  <c r="C324" i="14"/>
  <c r="E324" i="14" s="1"/>
  <c r="F324" i="14" s="1"/>
  <c r="F106" i="14"/>
  <c r="E176" i="14"/>
  <c r="C211" i="14"/>
  <c r="D264" i="15"/>
  <c r="D266" i="15"/>
  <c r="D267" i="15"/>
  <c r="D268" i="15"/>
  <c r="D269" i="15"/>
  <c r="D271" i="15"/>
  <c r="F176" i="14" l="1"/>
  <c r="C323" i="14"/>
  <c r="D110" i="15"/>
  <c r="D114" i="15"/>
  <c r="D123" i="15"/>
  <c r="D113" i="15"/>
  <c r="E113" i="15" s="1"/>
  <c r="D115" i="15"/>
  <c r="D121" i="15"/>
  <c r="F105" i="14"/>
  <c r="E181" i="15"/>
  <c r="E285" i="14"/>
  <c r="F285" i="14" s="1"/>
  <c r="D288" i="14"/>
  <c r="D294" i="15"/>
  <c r="D66" i="15"/>
  <c r="D246" i="15"/>
  <c r="D234" i="15"/>
  <c r="E234" i="15" s="1"/>
  <c r="E210" i="15"/>
  <c r="D180" i="15"/>
  <c r="E180" i="15" s="1"/>
  <c r="E144" i="15"/>
  <c r="F190" i="14"/>
  <c r="E172" i="14"/>
  <c r="F172" i="14"/>
  <c r="E208" i="6"/>
  <c r="F208" i="6"/>
  <c r="D96" i="15"/>
  <c r="D87" i="15"/>
  <c r="E87" i="15" s="1"/>
  <c r="D101" i="15"/>
  <c r="E101" i="15" s="1"/>
  <c r="E304" i="14"/>
  <c r="F304" i="14" s="1"/>
  <c r="D322" i="14"/>
  <c r="E141" i="14"/>
  <c r="F141" i="14" s="1"/>
  <c r="C148" i="14"/>
  <c r="E91" i="14"/>
  <c r="F91" i="14" s="1"/>
  <c r="D84" i="15"/>
  <c r="E272" i="14"/>
  <c r="F272" i="14" s="1"/>
  <c r="D196" i="14"/>
  <c r="E37" i="19"/>
  <c r="E55" i="19"/>
  <c r="E38" i="19"/>
  <c r="E56" i="19"/>
  <c r="E125" i="14"/>
  <c r="F125" i="14" s="1"/>
  <c r="D273" i="14"/>
  <c r="E273" i="14" s="1"/>
  <c r="E271" i="14"/>
  <c r="F271" i="14" s="1"/>
  <c r="F139" i="14"/>
  <c r="F265" i="14"/>
  <c r="D45" i="19"/>
  <c r="D35" i="19"/>
  <c r="D110" i="19"/>
  <c r="E193" i="14"/>
  <c r="F193" i="14" s="1"/>
  <c r="D282" i="14"/>
  <c r="E282" i="14" s="1"/>
  <c r="D208" i="14"/>
  <c r="E207" i="14"/>
  <c r="F207" i="14" s="1"/>
  <c r="E90" i="14"/>
  <c r="F90" i="14" s="1"/>
  <c r="E63" i="14"/>
  <c r="F63" i="14" s="1"/>
  <c r="C259" i="15"/>
  <c r="C281" i="14"/>
  <c r="F282" i="14"/>
  <c r="E22" i="10"/>
  <c r="E21" i="10"/>
  <c r="F83" i="4"/>
  <c r="D43" i="1"/>
  <c r="E22" i="1"/>
  <c r="F22" i="1" s="1"/>
  <c r="D75" i="1"/>
  <c r="E75" i="1" s="1"/>
  <c r="F75" i="1" s="1"/>
  <c r="E65" i="1"/>
  <c r="F65" i="1" s="1"/>
  <c r="F273" i="14"/>
  <c r="E175" i="14"/>
  <c r="F175" i="14" s="1"/>
  <c r="C268" i="14"/>
  <c r="C263" i="14"/>
  <c r="D22" i="10"/>
  <c r="E95" i="15"/>
  <c r="D100" i="15"/>
  <c r="E100" i="15" s="1"/>
  <c r="D99" i="15"/>
  <c r="E99" i="15" s="1"/>
  <c r="D88" i="15"/>
  <c r="E88" i="15" s="1"/>
  <c r="D97" i="15"/>
  <c r="E97" i="15" s="1"/>
  <c r="D86" i="15"/>
  <c r="E86" i="15" s="1"/>
  <c r="E44" i="15"/>
  <c r="D83" i="15"/>
  <c r="E263" i="14"/>
  <c r="C55" i="19"/>
  <c r="C37" i="19"/>
  <c r="D37" i="19"/>
  <c r="D55" i="19"/>
  <c r="E287" i="14"/>
  <c r="F287" i="14"/>
  <c r="F279" i="14"/>
  <c r="D126" i="14"/>
  <c r="D49" i="14"/>
  <c r="D161" i="14"/>
  <c r="C45" i="19"/>
  <c r="C35" i="19"/>
  <c r="C110" i="19"/>
  <c r="D281" i="14"/>
  <c r="E281" i="14" s="1"/>
  <c r="F40" i="17"/>
  <c r="C66" i="15"/>
  <c r="C247" i="15" s="1"/>
  <c r="C294" i="15"/>
  <c r="C246" i="15"/>
  <c r="C126" i="15"/>
  <c r="C128" i="15" s="1"/>
  <c r="C129" i="15" s="1"/>
  <c r="C115" i="15"/>
  <c r="C124" i="15"/>
  <c r="E124" i="15" s="1"/>
  <c r="C109" i="15"/>
  <c r="C114" i="15"/>
  <c r="C112" i="15"/>
  <c r="E112" i="15" s="1"/>
  <c r="C110" i="15"/>
  <c r="C116" i="15" s="1"/>
  <c r="F274" i="14"/>
  <c r="F200" i="14"/>
  <c r="C300" i="14"/>
  <c r="E264" i="14"/>
  <c r="F264" i="14" s="1"/>
  <c r="F255" i="14"/>
  <c r="C288" i="14"/>
  <c r="F278" i="14"/>
  <c r="F140" i="14"/>
  <c r="F62" i="14"/>
  <c r="D152" i="5"/>
  <c r="D154" i="5"/>
  <c r="D153" i="5"/>
  <c r="C137" i="5"/>
  <c r="C136" i="5"/>
  <c r="C135" i="5"/>
  <c r="E61" i="14"/>
  <c r="F61" i="14" s="1"/>
  <c r="C104" i="14"/>
  <c r="C174" i="14"/>
  <c r="F121" i="7"/>
  <c r="E261" i="14"/>
  <c r="F261" i="14" s="1"/>
  <c r="E284" i="14"/>
  <c r="F284" i="14" s="1"/>
  <c r="C41" i="1"/>
  <c r="E38" i="1"/>
  <c r="F38" i="1" s="1"/>
  <c r="F24" i="4"/>
  <c r="F153" i="3"/>
  <c r="F118" i="4"/>
  <c r="F200" i="6"/>
  <c r="F201" i="6"/>
  <c r="F202" i="6"/>
  <c r="F203" i="6"/>
  <c r="F204" i="6"/>
  <c r="F205" i="6"/>
  <c r="F206" i="6"/>
  <c r="F16" i="12"/>
  <c r="F56" i="8"/>
  <c r="F39" i="9"/>
  <c r="C19" i="9"/>
  <c r="F92" i="12"/>
  <c r="E17" i="13"/>
  <c r="F17" i="13" s="1"/>
  <c r="F21" i="13"/>
  <c r="E77" i="14"/>
  <c r="E205" i="15"/>
  <c r="D101" i="19"/>
  <c r="D103" i="19" s="1"/>
  <c r="E188" i="15"/>
  <c r="E218" i="15"/>
  <c r="E324" i="15"/>
  <c r="C43" i="1" l="1"/>
  <c r="E174" i="14"/>
  <c r="F174" i="14" s="1"/>
  <c r="D158" i="5"/>
  <c r="C289" i="14"/>
  <c r="D50" i="14"/>
  <c r="E49" i="14"/>
  <c r="F49" i="14" s="1"/>
  <c r="C291" i="14"/>
  <c r="E83" i="15"/>
  <c r="F281" i="14"/>
  <c r="C295" i="15"/>
  <c r="D210" i="14"/>
  <c r="E208" i="14"/>
  <c r="F208" i="14" s="1"/>
  <c r="D209" i="14"/>
  <c r="E209" i="14" s="1"/>
  <c r="F209" i="14" s="1"/>
  <c r="E196" i="14"/>
  <c r="F196" i="14" s="1"/>
  <c r="D197" i="14"/>
  <c r="E197" i="14" s="1"/>
  <c r="F197" i="14" s="1"/>
  <c r="E322" i="14"/>
  <c r="F322" i="14" s="1"/>
  <c r="D295" i="15"/>
  <c r="E295" i="15" s="1"/>
  <c r="E66" i="15"/>
  <c r="D247" i="15"/>
  <c r="E247" i="15" s="1"/>
  <c r="D291" i="14"/>
  <c r="E288" i="14"/>
  <c r="F288" i="14" s="1"/>
  <c r="D289" i="14"/>
  <c r="E289" i="14" s="1"/>
  <c r="E121" i="15"/>
  <c r="E114" i="15"/>
  <c r="C325" i="14"/>
  <c r="C33" i="9"/>
  <c r="E19" i="9"/>
  <c r="F19" i="9"/>
  <c r="E104" i="14"/>
  <c r="F104" i="14" s="1"/>
  <c r="C141" i="5"/>
  <c r="F300" i="14"/>
  <c r="E300" i="14"/>
  <c r="C117" i="15"/>
  <c r="C131" i="15" s="1"/>
  <c r="D162" i="14"/>
  <c r="E161" i="14"/>
  <c r="F161" i="14" s="1"/>
  <c r="D127" i="14"/>
  <c r="E126" i="14"/>
  <c r="F126" i="14" s="1"/>
  <c r="F263" i="14"/>
  <c r="E126" i="15"/>
  <c r="E41" i="1"/>
  <c r="F41" i="1" s="1"/>
  <c r="E43" i="1"/>
  <c r="C263" i="15"/>
  <c r="E259" i="15"/>
  <c r="E268" i="14"/>
  <c r="F268" i="14" s="1"/>
  <c r="E84" i="15"/>
  <c r="D90" i="15"/>
  <c r="E90" i="15" s="1"/>
  <c r="D102" i="15"/>
  <c r="E96" i="15"/>
  <c r="E246" i="15"/>
  <c r="E294" i="15"/>
  <c r="E115" i="15"/>
  <c r="E123" i="15"/>
  <c r="D128" i="15"/>
  <c r="E128" i="15" s="1"/>
  <c r="D116" i="15"/>
  <c r="E110" i="15"/>
  <c r="E109" i="15"/>
  <c r="E116" i="15" l="1"/>
  <c r="D117" i="15"/>
  <c r="C264" i="15"/>
  <c r="E263" i="15"/>
  <c r="D148" i="14"/>
  <c r="E148" i="14" s="1"/>
  <c r="F148" i="14" s="1"/>
  <c r="E127" i="14"/>
  <c r="F127" i="14" s="1"/>
  <c r="D323" i="14"/>
  <c r="E162" i="14"/>
  <c r="F162" i="14" s="1"/>
  <c r="D183" i="14"/>
  <c r="E183" i="14" s="1"/>
  <c r="F183" i="14" s="1"/>
  <c r="D211" i="14"/>
  <c r="E211" i="14" s="1"/>
  <c r="F211" i="14" s="1"/>
  <c r="E210" i="14"/>
  <c r="F210" i="14" s="1"/>
  <c r="D91" i="15"/>
  <c r="C305" i="14"/>
  <c r="E50" i="14"/>
  <c r="F50" i="14" s="1"/>
  <c r="D70" i="14"/>
  <c r="E70" i="14" s="1"/>
  <c r="F70" i="14" s="1"/>
  <c r="F289" i="14"/>
  <c r="E102" i="15"/>
  <c r="D103" i="15"/>
  <c r="E103" i="15" s="1"/>
  <c r="C41" i="9"/>
  <c r="E33" i="9"/>
  <c r="F33" i="9" s="1"/>
  <c r="D129" i="15"/>
  <c r="E129" i="15" s="1"/>
  <c r="D305" i="14"/>
  <c r="E291" i="14"/>
  <c r="F291" i="14" s="1"/>
  <c r="F43" i="1"/>
  <c r="C48" i="9" l="1"/>
  <c r="E41" i="9"/>
  <c r="F41" i="9" s="1"/>
  <c r="C309" i="14"/>
  <c r="D105" i="15"/>
  <c r="E105" i="15" s="1"/>
  <c r="E91" i="15"/>
  <c r="D131" i="15"/>
  <c r="E131" i="15" s="1"/>
  <c r="E117" i="15"/>
  <c r="E305" i="14"/>
  <c r="F305" i="14" s="1"/>
  <c r="D309" i="14"/>
  <c r="E323" i="14"/>
  <c r="F323" i="14" s="1"/>
  <c r="D325" i="14"/>
  <c r="E325" i="14" s="1"/>
  <c r="F325" i="14" s="1"/>
  <c r="C266" i="15"/>
  <c r="E264" i="15"/>
  <c r="C267" i="15" l="1"/>
  <c r="E266" i="15"/>
  <c r="C310" i="14"/>
  <c r="E309" i="14"/>
  <c r="F309" i="14" s="1"/>
  <c r="D310" i="14"/>
  <c r="F48" i="9"/>
  <c r="E48" i="9"/>
  <c r="D312" i="14" l="1"/>
  <c r="E310" i="14"/>
  <c r="C312" i="14"/>
  <c r="F310" i="14"/>
  <c r="C269" i="15"/>
  <c r="E269" i="15" s="1"/>
  <c r="E267" i="15"/>
  <c r="C268" i="15"/>
  <c r="C313" i="14" l="1"/>
  <c r="C271" i="15"/>
  <c r="E271" i="15" s="1"/>
  <c r="E268" i="15"/>
  <c r="D313" i="14"/>
  <c r="E312" i="14"/>
  <c r="F312" i="14" s="1"/>
  <c r="D256" i="14" l="1"/>
  <c r="D314" i="14"/>
  <c r="E313" i="14"/>
  <c r="D315" i="14"/>
  <c r="D251" i="14"/>
  <c r="C314" i="14"/>
  <c r="C251" i="14"/>
  <c r="C315" i="14"/>
  <c r="C256" i="14"/>
  <c r="F313" i="14"/>
  <c r="C257" i="14" l="1"/>
  <c r="F315" i="14"/>
  <c r="C318" i="14"/>
  <c r="E315" i="14"/>
  <c r="E314" i="14"/>
  <c r="F314" i="14" s="1"/>
  <c r="D318" i="14"/>
  <c r="E318" i="14" s="1"/>
  <c r="F251" i="14"/>
  <c r="E251" i="14"/>
  <c r="E256" i="14"/>
  <c r="F256" i="14" s="1"/>
  <c r="D257" i="14"/>
  <c r="E257" i="14" s="1"/>
  <c r="F318" i="14" l="1"/>
  <c r="F257" i="14"/>
</calcChain>
</file>

<file path=xl/sharedStrings.xml><?xml version="1.0" encoding="utf-8"?>
<sst xmlns="http://schemas.openxmlformats.org/spreadsheetml/2006/main" count="2307" uniqueCount="983">
  <si>
    <t>BRIDGEPORT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</si>
  <si>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</si>
  <si>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</si>
  <si>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</si>
  <si>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</si>
  <si>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</si>
  <si>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</si>
  <si>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</si>
  <si>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</si>
  <si>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</si>
  <si>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</si>
  <si>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</si>
  <si>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</si>
  <si>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</si>
  <si>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</si>
  <si>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</si>
  <si>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</si>
  <si>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</si>
  <si>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</si>
  <si>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</si>
  <si>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</si>
  <si>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</si>
  <si>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</si>
  <si>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</si>
  <si>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</si>
  <si>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</si>
  <si>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</si>
  <si>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</si>
  <si>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</si>
  <si>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</si>
  <si>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</si>
  <si>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</si>
  <si>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</si>
  <si>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</si>
  <si>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</si>
  <si>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</si>
  <si>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</si>
  <si>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</si>
  <si>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</si>
  <si>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</si>
  <si>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</si>
  <si>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</si>
  <si>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</si>
  <si>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</si>
  <si>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</si>
  <si>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</si>
  <si>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</si>
  <si>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</si>
  <si>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</si>
  <si>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</si>
  <si>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</si>
  <si>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</si>
  <si>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</si>
  <si>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</si>
  <si>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</si>
  <si>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</si>
  <si>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</si>
  <si>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</si>
  <si>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</si>
  <si>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</si>
  <si>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</si>
  <si>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</si>
  <si>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</si>
  <si>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</si>
  <si>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</si>
  <si>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</si>
  <si>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</si>
  <si>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</si>
  <si>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</si>
  <si>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</si>
  <si>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</si>
  <si>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</si>
  <si>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</si>
  <si>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</si>
  <si>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</si>
  <si>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</si>
  <si>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</si>
  <si>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</si>
  <si>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</si>
  <si>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</si>
  <si>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</si>
  <si>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</si>
  <si>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</si>
  <si>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</si>
  <si>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</si>
  <si>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</si>
  <si>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</si>
  <si>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</si>
  <si>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</si>
  <si>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</si>
  <si>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</si>
  <si>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</si>
  <si>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</si>
  <si>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</si>
  <si>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</si>
  <si>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</si>
  <si>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</si>
  <si>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</si>
  <si>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</si>
  <si>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</si>
  <si>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</si>
  <si>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</si>
  <si>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</si>
  <si>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</si>
  <si>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</si>
  <si>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</si>
  <si>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</si>
  <si>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</si>
  <si>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</si>
  <si>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</si>
  <si>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</si>
  <si>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</si>
  <si>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</si>
  <si>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</si>
  <si>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</si>
  <si>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</si>
  <si>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</si>
  <si>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</si>
  <si>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</si>
  <si>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</si>
  <si>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</si>
  <si>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</si>
  <si>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</si>
  <si>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</si>
  <si>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</si>
  <si>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</si>
  <si>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</si>
  <si>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</si>
  <si>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</si>
  <si>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</si>
  <si>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</si>
  <si>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</si>
  <si>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</si>
  <si>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</si>
  <si>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</si>
  <si>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</si>
  <si>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</si>
  <si>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</si>
  <si>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</si>
  <si>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</si>
  <si>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</si>
  <si>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</si>
  <si>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</si>
  <si>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</si>
  <si>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</si>
  <si>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</si>
  <si>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</si>
  <si>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</si>
  <si>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</si>
  <si>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</si>
  <si>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</si>
  <si>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</si>
  <si>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</si>
  <si>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</si>
  <si>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</si>
  <si>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</si>
  <si>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</si>
  <si>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</si>
  <si>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</si>
  <si>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</si>
  <si>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</si>
  <si>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</si>
  <si>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</si>
  <si>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</si>
  <si>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</si>
  <si>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</si>
  <si>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</si>
  <si>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</si>
  <si>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</si>
  <si>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</si>
  <si>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</si>
  <si>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</si>
  <si>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</si>
  <si>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</si>
  <si>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</si>
  <si>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</si>
  <si>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</si>
  <si>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</si>
  <si>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</si>
  <si>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</si>
  <si>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</si>
  <si>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</si>
  <si>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</si>
  <si>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</si>
  <si>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</si>
  <si>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</si>
  <si>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</si>
  <si>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</si>
  <si>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</si>
  <si>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</si>
  <si>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</si>
  <si>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</si>
  <si>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</si>
  <si>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</si>
  <si>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</si>
  <si>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</si>
  <si>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</si>
  <si>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</si>
  <si>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</si>
  <si>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</si>
  <si>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</si>
  <si>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</si>
  <si>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</si>
  <si>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</si>
  <si>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</si>
  <si>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</si>
  <si>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</si>
  <si>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</si>
  <si>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</si>
  <si>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</si>
  <si>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</si>
  <si>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</si>
  <si>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</si>
  <si>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</si>
  <si>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</si>
  <si>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</si>
  <si>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</si>
  <si>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</si>
  <si>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</si>
  <si>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</si>
  <si>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</si>
  <si>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</si>
  <si>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</si>
  <si>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</si>
  <si>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</si>
  <si>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</si>
  <si>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</si>
  <si>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</si>
  <si>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</si>
  <si>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</si>
  <si>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</si>
  <si>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</si>
  <si>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</si>
  <si>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</si>
  <si>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</si>
  <si>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</si>
  <si>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</si>
  <si>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</si>
  <si>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</si>
  <si>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</si>
  <si>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</si>
  <si>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</si>
  <si>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</si>
  <si>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</si>
  <si>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</si>
  <si>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</si>
  <si>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</si>
  <si>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</si>
  <si>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</si>
  <si>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</si>
  <si>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</si>
  <si>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</si>
  <si>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</si>
  <si>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</si>
  <si>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</si>
  <si>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</si>
  <si>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</si>
  <si>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</si>
  <si>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</si>
  <si>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</si>
  <si>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</si>
  <si>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</si>
  <si>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</si>
  <si>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</si>
  <si>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</si>
  <si>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</si>
  <si>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</si>
  <si>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</si>
  <si>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</si>
  <si>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</si>
  <si>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</si>
  <si>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</si>
  <si>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</si>
  <si>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</si>
  <si>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</si>
  <si>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</si>
  <si>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</si>
  <si>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</si>
  <si>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</si>
  <si>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</si>
  <si>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</si>
  <si>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</si>
  <si>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</si>
  <si>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</si>
  <si>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</si>
  <si>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</si>
  <si>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</si>
  <si>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</si>
  <si>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</si>
  <si>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</si>
  <si>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</si>
  <si>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</si>
  <si>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</si>
  <si>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</si>
  <si>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</si>
  <si>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</si>
  <si>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</si>
  <si>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</si>
  <si>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</si>
  <si>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</si>
  <si>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</si>
  <si>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</si>
  <si>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</si>
  <si>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</si>
  <si>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</si>
  <si>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</si>
  <si>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</si>
  <si>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</si>
  <si>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</si>
  <si>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</si>
  <si>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</si>
  <si>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</si>
  <si>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</si>
  <si>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</si>
  <si>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</si>
  <si>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</si>
  <si>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</si>
  <si>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</si>
  <si>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</si>
  <si>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</si>
  <si>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</si>
  <si>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</si>
  <si>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</si>
  <si>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</si>
  <si>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</si>
  <si>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</si>
  <si>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</si>
  <si>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</si>
  <si>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</si>
  <si>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</si>
  <si>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</si>
  <si>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</si>
  <si>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</si>
  <si>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</si>
  <si>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</si>
  <si>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</si>
  <si>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</si>
  <si>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</si>
  <si>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</si>
  <si>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</si>
  <si>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</si>
  <si>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</si>
  <si>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</si>
  <si>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</si>
  <si>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</si>
  <si>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</si>
  <si>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</si>
  <si>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</si>
  <si>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</si>
  <si>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</si>
  <si>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</si>
  <si>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</si>
  <si>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</si>
  <si>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</si>
  <si>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</si>
  <si>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</si>
  <si>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</si>
  <si>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</si>
  <si>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</si>
  <si>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</si>
  <si>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</si>
  <si>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</si>
  <si>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</si>
  <si>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</si>
  <si>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</si>
  <si>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</si>
  <si>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</si>
  <si>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</si>
  <si>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</si>
  <si>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</si>
  <si>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</si>
  <si>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</si>
  <si>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</si>
  <si>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</si>
  <si>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</si>
  <si>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</si>
  <si>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</si>
  <si>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</si>
  <si>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</si>
  <si>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</si>
  <si>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</si>
  <si>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</si>
  <si>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</si>
  <si>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</si>
  <si>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</si>
  <si>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</si>
  <si>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</si>
  <si>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</si>
  <si>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</si>
  <si>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</si>
  <si>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</si>
  <si>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</si>
  <si>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</si>
  <si>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</si>
  <si>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</si>
  <si>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</si>
  <si>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</si>
  <si>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</si>
  <si>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</si>
  <si>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</si>
  <si>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</si>
  <si>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</si>
  <si>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</si>
  <si>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</si>
  <si>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</si>
  <si>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</si>
  <si>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</si>
  <si>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</si>
  <si>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</si>
  <si>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</si>
  <si>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</si>
  <si>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</si>
  <si>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</si>
  <si>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</si>
  <si>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</si>
  <si>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</si>
  <si>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</si>
  <si>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</si>
  <si>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</si>
  <si>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</si>
  <si>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</si>
  <si>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</si>
  <si>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</si>
  <si>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</si>
  <si>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</si>
  <si>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</si>
  <si>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</si>
  <si>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</si>
  <si>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</si>
  <si>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</si>
  <si>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</si>
  <si>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</si>
  <si>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</si>
  <si>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</si>
  <si>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</si>
  <si>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</si>
  <si>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</si>
  <si>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</si>
  <si>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</si>
  <si>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</si>
  <si>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</si>
  <si>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</si>
  <si>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</si>
  <si>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</si>
  <si>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</si>
  <si>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</si>
  <si>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</si>
  <si>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</si>
  <si>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</si>
  <si>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</si>
  <si>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</si>
  <si>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</si>
  <si>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</si>
  <si>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</si>
  <si>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</si>
  <si>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</si>
  <si>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</si>
  <si>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</si>
  <si>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</si>
  <si>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</si>
  <si>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</si>
  <si>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</si>
  <si>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</si>
  <si>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</si>
  <si>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</si>
  <si>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</si>
  <si>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</si>
  <si>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</si>
  <si>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</si>
  <si>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</si>
  <si>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</si>
  <si>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</si>
  <si>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</si>
  <si>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</si>
  <si>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</si>
  <si>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</si>
  <si>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</si>
  <si>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</si>
  <si>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</si>
  <si>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BRIDGEPORT HOSPITAL &amp; HEALTHCARE SERVICES,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</si>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</sst>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44477000</v>
      </c>
      <c r="D13" s="23">
        <v>37123000</v>
      </c>
      <c r="E13" s="23">
        <f t="shared" ref="E13:E22" si="0">D13-C13</f>
        <v>-7354000</v>
      </c>
      <c r="F13" s="24">
        <f t="shared" ref="F13:F22" si="1">IF(C13=0,0,E13/C13)</f>
        <v>-0.16534388560379523</v>
      </c>
    </row>
    <row r="14" spans="1:8" ht="24" customHeight="1" x14ac:dyDescent="0.2">
      <c r="A14" s="21">
        <v>2</v>
      </c>
      <c r="B14" s="22" t="s">
        <v>17</v>
      </c>
      <c r="C14" s="23">
        <v>17550000</v>
      </c>
      <c r="D14" s="23">
        <v>18455000</v>
      </c>
      <c r="E14" s="23">
        <f t="shared" si="0"/>
        <v>905000</v>
      </c>
      <c r="F14" s="24">
        <f t="shared" si="1"/>
        <v>5.1566951566951569E-2</v>
      </c>
    </row>
    <row r="15" spans="1:8" ht="29.25" customHeight="1" x14ac:dyDescent="0.2">
      <c r="A15" s="21">
        <v>3</v>
      </c>
      <c r="B15" s="22" t="s">
        <v>18</v>
      </c>
      <c r="C15" s="23">
        <v>29146000</v>
      </c>
      <c r="D15" s="23">
        <v>41819000</v>
      </c>
      <c r="E15" s="23">
        <f t="shared" si="0"/>
        <v>12673000</v>
      </c>
      <c r="F15" s="24">
        <f t="shared" si="1"/>
        <v>0.43481095176010431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1411000</v>
      </c>
      <c r="D18" s="23">
        <v>2403000</v>
      </c>
      <c r="E18" s="23">
        <f t="shared" si="0"/>
        <v>992000</v>
      </c>
      <c r="F18" s="24">
        <f t="shared" si="1"/>
        <v>0.70304748405386253</v>
      </c>
    </row>
    <row r="19" spans="1:11" ht="24" customHeight="1" x14ac:dyDescent="0.2">
      <c r="A19" s="21">
        <v>7</v>
      </c>
      <c r="B19" s="22" t="s">
        <v>22</v>
      </c>
      <c r="C19" s="23">
        <v>3852000</v>
      </c>
      <c r="D19" s="23">
        <v>3786000</v>
      </c>
      <c r="E19" s="23">
        <f t="shared" si="0"/>
        <v>-66000</v>
      </c>
      <c r="F19" s="24">
        <f t="shared" si="1"/>
        <v>-1.7133956386292833E-2</v>
      </c>
    </row>
    <row r="20" spans="1:11" ht="24" customHeight="1" x14ac:dyDescent="0.2">
      <c r="A20" s="21">
        <v>8</v>
      </c>
      <c r="B20" s="22" t="s">
        <v>23</v>
      </c>
      <c r="C20" s="23">
        <v>1876000</v>
      </c>
      <c r="D20" s="23">
        <v>2516000</v>
      </c>
      <c r="E20" s="23">
        <f t="shared" si="0"/>
        <v>640000</v>
      </c>
      <c r="F20" s="24">
        <f t="shared" si="1"/>
        <v>0.34115138592750532</v>
      </c>
    </row>
    <row r="21" spans="1:11" ht="24" customHeight="1" x14ac:dyDescent="0.2">
      <c r="A21" s="21">
        <v>9</v>
      </c>
      <c r="B21" s="22" t="s">
        <v>24</v>
      </c>
      <c r="C21" s="23">
        <v>3107000</v>
      </c>
      <c r="D21" s="23">
        <v>5701000</v>
      </c>
      <c r="E21" s="23">
        <f t="shared" si="0"/>
        <v>2594000</v>
      </c>
      <c r="F21" s="24">
        <f t="shared" si="1"/>
        <v>0.83488896041197291</v>
      </c>
    </row>
    <row r="22" spans="1:11" ht="24" customHeight="1" x14ac:dyDescent="0.25">
      <c r="A22" s="25"/>
      <c r="B22" s="26" t="s">
        <v>25</v>
      </c>
      <c r="C22" s="27">
        <f>SUM(C13:C21)</f>
        <v>101419000</v>
      </c>
      <c r="D22" s="27">
        <f>SUM(D13:D21)</f>
        <v>111803000</v>
      </c>
      <c r="E22" s="27">
        <f t="shared" si="0"/>
        <v>10384000</v>
      </c>
      <c r="F22" s="28">
        <f t="shared" si="1"/>
        <v>0.10238712667251698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5788000</v>
      </c>
      <c r="D27" s="23">
        <v>5788000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5788000</v>
      </c>
      <c r="D29" s="27">
        <f>SUM(D25:D28)</f>
        <v>5788000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45642000</v>
      </c>
      <c r="D31" s="23">
        <v>48588000</v>
      </c>
      <c r="E31" s="23">
        <f>D31-C31</f>
        <v>2946000</v>
      </c>
      <c r="F31" s="24">
        <f>IF(C31=0,0,E31/C31)</f>
        <v>6.4545813066912053E-2</v>
      </c>
    </row>
    <row r="32" spans="1:11" ht="24" customHeight="1" x14ac:dyDescent="0.2">
      <c r="A32" s="21">
        <v>6</v>
      </c>
      <c r="B32" s="22" t="s">
        <v>34</v>
      </c>
      <c r="C32" s="23">
        <v>20564000</v>
      </c>
      <c r="D32" s="23">
        <v>20685000</v>
      </c>
      <c r="E32" s="23">
        <f>D32-C32</f>
        <v>121000</v>
      </c>
      <c r="F32" s="24">
        <f>IF(C32=0,0,E32/C32)</f>
        <v>5.8840692472281655E-3</v>
      </c>
    </row>
    <row r="33" spans="1:8" ht="24" customHeight="1" x14ac:dyDescent="0.2">
      <c r="A33" s="21">
        <v>7</v>
      </c>
      <c r="B33" s="22" t="s">
        <v>35</v>
      </c>
      <c r="C33" s="23">
        <v>7995000</v>
      </c>
      <c r="D33" s="23">
        <v>17502000</v>
      </c>
      <c r="E33" s="23">
        <f>D33-C33</f>
        <v>9507000</v>
      </c>
      <c r="F33" s="24">
        <f>IF(C33=0,0,E33/C33)</f>
        <v>1.1891181988742965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360747000</v>
      </c>
      <c r="D36" s="23">
        <v>370486000</v>
      </c>
      <c r="E36" s="23">
        <f>D36-C36</f>
        <v>9739000</v>
      </c>
      <c r="F36" s="24">
        <f>IF(C36=0,0,E36/C36)</f>
        <v>2.6996759501811518E-2</v>
      </c>
    </row>
    <row r="37" spans="1:8" ht="24" customHeight="1" x14ac:dyDescent="0.2">
      <c r="A37" s="21">
        <v>2</v>
      </c>
      <c r="B37" s="22" t="s">
        <v>39</v>
      </c>
      <c r="C37" s="23">
        <v>248840000</v>
      </c>
      <c r="D37" s="23">
        <v>264952000</v>
      </c>
      <c r="E37" s="23">
        <f>D37-C37</f>
        <v>16112000</v>
      </c>
      <c r="F37" s="24">
        <f>IF(C37=0,0,E37/C37)</f>
        <v>6.4748432727857255E-2</v>
      </c>
    </row>
    <row r="38" spans="1:8" ht="24" customHeight="1" x14ac:dyDescent="0.25">
      <c r="A38" s="25"/>
      <c r="B38" s="26" t="s">
        <v>40</v>
      </c>
      <c r="C38" s="27">
        <f>C36-C37</f>
        <v>111907000</v>
      </c>
      <c r="D38" s="27">
        <f>D36-D37</f>
        <v>105534000</v>
      </c>
      <c r="E38" s="27">
        <f>D38-C38</f>
        <v>-6373000</v>
      </c>
      <c r="F38" s="28">
        <f>IF(C38=0,0,E38/C38)</f>
        <v>-5.694907378448176E-2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4946000</v>
      </c>
      <c r="D40" s="23">
        <v>18530000</v>
      </c>
      <c r="E40" s="23">
        <f>D40-C40</f>
        <v>13584000</v>
      </c>
      <c r="F40" s="24">
        <f>IF(C40=0,0,E40/C40)</f>
        <v>2.7464617873028709</v>
      </c>
    </row>
    <row r="41" spans="1:8" ht="24" customHeight="1" x14ac:dyDescent="0.25">
      <c r="A41" s="25"/>
      <c r="B41" s="26" t="s">
        <v>42</v>
      </c>
      <c r="C41" s="27">
        <f>+C38+C40</f>
        <v>116853000</v>
      </c>
      <c r="D41" s="27">
        <f>+D38+D40</f>
        <v>124064000</v>
      </c>
      <c r="E41" s="27">
        <f>D41-C41</f>
        <v>7211000</v>
      </c>
      <c r="F41" s="28">
        <f>IF(C41=0,0,E41/C41)</f>
        <v>6.1710011724132027E-2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298261000</v>
      </c>
      <c r="D43" s="27">
        <f>D22+D29+D31+D32+D33+D41</f>
        <v>328430000</v>
      </c>
      <c r="E43" s="27">
        <f>D43-C43</f>
        <v>30169000</v>
      </c>
      <c r="F43" s="28">
        <f>IF(C43=0,0,E43/C43)</f>
        <v>0.10114966422026346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11257000</v>
      </c>
      <c r="D49" s="23">
        <v>13294000</v>
      </c>
      <c r="E49" s="23">
        <f t="shared" ref="E49:E56" si="2">D49-C49</f>
        <v>2037000</v>
      </c>
      <c r="F49" s="24">
        <f t="shared" ref="F49:F56" si="3">IF(C49=0,0,E49/C49)</f>
        <v>0.18095407302123123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34944000</v>
      </c>
      <c r="D50" s="23">
        <v>41298000</v>
      </c>
      <c r="E50" s="23">
        <f t="shared" si="2"/>
        <v>6354000</v>
      </c>
      <c r="F50" s="24">
        <f t="shared" si="3"/>
        <v>0.1818337912087912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2857000</v>
      </c>
      <c r="D51" s="23">
        <v>3987000</v>
      </c>
      <c r="E51" s="23">
        <f t="shared" si="2"/>
        <v>1130000</v>
      </c>
      <c r="F51" s="24">
        <f t="shared" si="3"/>
        <v>0.39551977598879945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2945000</v>
      </c>
      <c r="D53" s="23">
        <v>3832000</v>
      </c>
      <c r="E53" s="23">
        <f t="shared" si="2"/>
        <v>887000</v>
      </c>
      <c r="F53" s="24">
        <f t="shared" si="3"/>
        <v>0.30118845500848895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52003000</v>
      </c>
      <c r="D56" s="27">
        <f>SUM(D49:D55)</f>
        <v>62411000</v>
      </c>
      <c r="E56" s="27">
        <f t="shared" si="2"/>
        <v>10408000</v>
      </c>
      <c r="F56" s="28">
        <f t="shared" si="3"/>
        <v>0.20014229948272216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47145000</v>
      </c>
      <c r="D59" s="23">
        <v>49757000</v>
      </c>
      <c r="E59" s="23">
        <f>D59-C59</f>
        <v>2612000</v>
      </c>
      <c r="F59" s="24">
        <f>IF(C59=0,0,E59/C59)</f>
        <v>5.5403542263230458E-2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47145000</v>
      </c>
      <c r="D61" s="27">
        <f>SUM(D59:D60)</f>
        <v>49757000</v>
      </c>
      <c r="E61" s="27">
        <f>D61-C61</f>
        <v>2612000</v>
      </c>
      <c r="F61" s="28">
        <f>IF(C61=0,0,E61/C61)</f>
        <v>5.5403542263230458E-2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49237000</v>
      </c>
      <c r="D63" s="23">
        <v>51983000</v>
      </c>
      <c r="E63" s="23">
        <f>D63-C63</f>
        <v>2746000</v>
      </c>
      <c r="F63" s="24">
        <f>IF(C63=0,0,E63/C63)</f>
        <v>5.5771066474399333E-2</v>
      </c>
    </row>
    <row r="64" spans="1:6" ht="24" customHeight="1" x14ac:dyDescent="0.2">
      <c r="A64" s="21">
        <v>4</v>
      </c>
      <c r="B64" s="22" t="s">
        <v>60</v>
      </c>
      <c r="C64" s="23">
        <v>46777000</v>
      </c>
      <c r="D64" s="23">
        <v>45465000</v>
      </c>
      <c r="E64" s="23">
        <f>D64-C64</f>
        <v>-1312000</v>
      </c>
      <c r="F64" s="24">
        <f>IF(C64=0,0,E64/C64)</f>
        <v>-2.804797229407615E-2</v>
      </c>
    </row>
    <row r="65" spans="1:6" ht="24" customHeight="1" x14ac:dyDescent="0.25">
      <c r="A65" s="25"/>
      <c r="B65" s="26" t="s">
        <v>61</v>
      </c>
      <c r="C65" s="27">
        <f>SUM(C61:C64)</f>
        <v>143159000</v>
      </c>
      <c r="D65" s="27">
        <f>SUM(D61:D64)</f>
        <v>147205000</v>
      </c>
      <c r="E65" s="27">
        <f>D65-C65</f>
        <v>4046000</v>
      </c>
      <c r="F65" s="28">
        <f>IF(C65=0,0,E65/C65)</f>
        <v>2.8262281798559642E-2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62529000</v>
      </c>
      <c r="D70" s="23">
        <v>74736000</v>
      </c>
      <c r="E70" s="23">
        <f>D70-C70</f>
        <v>12207000</v>
      </c>
      <c r="F70" s="24">
        <f>IF(C70=0,0,E70/C70)</f>
        <v>0.19522141726239026</v>
      </c>
    </row>
    <row r="71" spans="1:6" ht="24" customHeight="1" x14ac:dyDescent="0.2">
      <c r="A71" s="21">
        <v>2</v>
      </c>
      <c r="B71" s="22" t="s">
        <v>65</v>
      </c>
      <c r="C71" s="23">
        <v>23262000</v>
      </c>
      <c r="D71" s="23">
        <v>24997000</v>
      </c>
      <c r="E71" s="23">
        <f>D71-C71</f>
        <v>1735000</v>
      </c>
      <c r="F71" s="24">
        <f>IF(C71=0,0,E71/C71)</f>
        <v>7.4585160347347607E-2</v>
      </c>
    </row>
    <row r="72" spans="1:6" ht="24" customHeight="1" x14ac:dyDescent="0.2">
      <c r="A72" s="21">
        <v>3</v>
      </c>
      <c r="B72" s="22" t="s">
        <v>66</v>
      </c>
      <c r="C72" s="23">
        <v>17308000</v>
      </c>
      <c r="D72" s="23">
        <v>19081000</v>
      </c>
      <c r="E72" s="23">
        <f>D72-C72</f>
        <v>1773000</v>
      </c>
      <c r="F72" s="24">
        <f>IF(C72=0,0,E72/C72)</f>
        <v>0.10243817887681997</v>
      </c>
    </row>
    <row r="73" spans="1:6" ht="24" customHeight="1" x14ac:dyDescent="0.25">
      <c r="A73" s="21"/>
      <c r="B73" s="26" t="s">
        <v>67</v>
      </c>
      <c r="C73" s="27">
        <f>SUM(C70:C72)</f>
        <v>103099000</v>
      </c>
      <c r="D73" s="27">
        <f>SUM(D70:D72)</f>
        <v>118814000</v>
      </c>
      <c r="E73" s="27">
        <f>D73-C73</f>
        <v>15715000</v>
      </c>
      <c r="F73" s="28">
        <f>IF(C73=0,0,E73/C73)</f>
        <v>0.15242630869358578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298261000</v>
      </c>
      <c r="D75" s="27">
        <f>D56+D65+D67+D73</f>
        <v>328430000</v>
      </c>
      <c r="E75" s="27">
        <f>D75-C75</f>
        <v>30169000</v>
      </c>
      <c r="F75" s="28">
        <f>IF(C75=0,0,E75/C75)</f>
        <v>0.10114966422026346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371280000</v>
      </c>
      <c r="D11" s="51">
        <v>369432000</v>
      </c>
      <c r="E11" s="51">
        <v>409615000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9708000</v>
      </c>
      <c r="D12" s="49">
        <v>10581000</v>
      </c>
      <c r="E12" s="49">
        <v>10881000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380988000</v>
      </c>
      <c r="D13" s="51">
        <f>+D11+D12</f>
        <v>380013000</v>
      </c>
      <c r="E13" s="51">
        <f>+E11+E12</f>
        <v>420496000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377600000</v>
      </c>
      <c r="D14" s="49">
        <v>365999000</v>
      </c>
      <c r="E14" s="49">
        <v>393525000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3388000</v>
      </c>
      <c r="D15" s="51">
        <f>+D13-D14</f>
        <v>14014000</v>
      </c>
      <c r="E15" s="51">
        <f>+E13-E14</f>
        <v>26971000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-3545000</v>
      </c>
      <c r="D16" s="49">
        <v>1766000</v>
      </c>
      <c r="E16" s="49">
        <v>-38000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-157000</v>
      </c>
      <c r="D17" s="51">
        <f>D15+D16</f>
        <v>15780000</v>
      </c>
      <c r="E17" s="51">
        <f>E15+E16</f>
        <v>26933000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8.9761897822982547E-3</v>
      </c>
      <c r="D20" s="169">
        <f>IF(+D27=0,0,+D24/+D27)</f>
        <v>3.6707100180994767E-2</v>
      </c>
      <c r="E20" s="169">
        <f>IF(+E27=0,0,+E24/+E27)</f>
        <v>6.414671619995338E-2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-9.3921466287624888E-3</v>
      </c>
      <c r="D21" s="169">
        <f>IF(+D27=0,0,+D26/+D27)</f>
        <v>4.6257127814782898E-3</v>
      </c>
      <c r="E21" s="169">
        <f>IF(+E27=0,0,+E26/+E27)</f>
        <v>-9.0377635816181408E-5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-4.1595684646423436E-4</v>
      </c>
      <c r="D22" s="169">
        <f>IF(+D27=0,0,+D28/+D27)</f>
        <v>4.1332812962473056E-2</v>
      </c>
      <c r="E22" s="169">
        <f>IF(+E27=0,0,+E28/+E27)</f>
        <v>6.40563385641372E-2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3388000</v>
      </c>
      <c r="D24" s="51">
        <f>+D15</f>
        <v>14014000</v>
      </c>
      <c r="E24" s="51">
        <f>+E15</f>
        <v>26971000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380988000</v>
      </c>
      <c r="D25" s="51">
        <f>+D13</f>
        <v>380013000</v>
      </c>
      <c r="E25" s="51">
        <f>+E13</f>
        <v>420496000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-3545000</v>
      </c>
      <c r="D26" s="51">
        <f>+D16</f>
        <v>1766000</v>
      </c>
      <c r="E26" s="51">
        <f>+E16</f>
        <v>-38000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377443000</v>
      </c>
      <c r="D27" s="51">
        <f>SUM(D25:D26)</f>
        <v>381779000</v>
      </c>
      <c r="E27" s="51">
        <f>SUM(E25:E26)</f>
        <v>420458000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-157000</v>
      </c>
      <c r="D28" s="51">
        <f>+D17</f>
        <v>15780000</v>
      </c>
      <c r="E28" s="51">
        <f>+E17</f>
        <v>26933000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47837000</v>
      </c>
      <c r="D31" s="51">
        <v>60022000</v>
      </c>
      <c r="E31" s="52">
        <v>72064000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86691000</v>
      </c>
      <c r="D32" s="51">
        <v>100592000</v>
      </c>
      <c r="E32" s="51">
        <v>116142000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-63220000</v>
      </c>
      <c r="D33" s="51">
        <f>+D32-C32</f>
        <v>13901000</v>
      </c>
      <c r="E33" s="51">
        <f>+E32-D32</f>
        <v>15550000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0.57820000000000005</v>
      </c>
      <c r="D34" s="171">
        <f>IF(C32=0,0,+D33/C32)</f>
        <v>0.16035113218211811</v>
      </c>
      <c r="E34" s="171">
        <f>IF(D32=0,0,+E33/D32)</f>
        <v>0.1545848576427549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1.624462863776144</v>
      </c>
      <c r="D38" s="269">
        <f>IF(+D40=0,0,+D39/+D40)</f>
        <v>2.4640233819174711</v>
      </c>
      <c r="E38" s="269">
        <f>IF(+E40=0,0,+E39/+E40)</f>
        <v>2.240231666530712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79766000</v>
      </c>
      <c r="D39" s="270">
        <v>128144000</v>
      </c>
      <c r="E39" s="270">
        <v>137315000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49103000</v>
      </c>
      <c r="D40" s="270">
        <v>52006000</v>
      </c>
      <c r="E40" s="270">
        <v>61295000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35.760892631767057</v>
      </c>
      <c r="D42" s="271">
        <f>IF((D48/365)=0,0,+D45/(D48/365))</f>
        <v>91.804488919918285</v>
      </c>
      <c r="E42" s="271">
        <f>IF((E48/365)=0,0,+E45/(E48/365))</f>
        <v>78.858768585182972</v>
      </c>
    </row>
    <row r="43" spans="1:14" ht="24" customHeight="1" x14ac:dyDescent="0.2">
      <c r="A43" s="17">
        <v>5</v>
      </c>
      <c r="B43" s="188" t="s">
        <v>16</v>
      </c>
      <c r="C43" s="272">
        <v>35088000</v>
      </c>
      <c r="D43" s="272">
        <v>45152000</v>
      </c>
      <c r="E43" s="272">
        <v>37449000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42391000</v>
      </c>
      <c r="E44" s="274">
        <v>43693000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35088000</v>
      </c>
      <c r="D45" s="270">
        <f>+D43+D44</f>
        <v>87543000</v>
      </c>
      <c r="E45" s="270">
        <f>+E43+E44</f>
        <v>81142000</v>
      </c>
    </row>
    <row r="46" spans="1:14" ht="24" customHeight="1" x14ac:dyDescent="0.2">
      <c r="A46" s="17">
        <v>8</v>
      </c>
      <c r="B46" s="45" t="s">
        <v>324</v>
      </c>
      <c r="C46" s="270">
        <f>+C14</f>
        <v>377600000</v>
      </c>
      <c r="D46" s="270">
        <f>+D14</f>
        <v>365999000</v>
      </c>
      <c r="E46" s="270">
        <f>+E14</f>
        <v>393525000</v>
      </c>
    </row>
    <row r="47" spans="1:14" ht="24" customHeight="1" x14ac:dyDescent="0.2">
      <c r="A47" s="17">
        <v>9</v>
      </c>
      <c r="B47" s="45" t="s">
        <v>347</v>
      </c>
      <c r="C47" s="270">
        <v>19468000</v>
      </c>
      <c r="D47" s="270">
        <v>17942000</v>
      </c>
      <c r="E47" s="270">
        <v>17957000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358132000</v>
      </c>
      <c r="D48" s="270">
        <f>+D46-D47</f>
        <v>348057000</v>
      </c>
      <c r="E48" s="270">
        <f>+E46-E47</f>
        <v>375568000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34.245784852402501</v>
      </c>
      <c r="D50" s="278">
        <f>IF((D55/365)=0,0,+D54/(D55/365))</f>
        <v>27.364724766668832</v>
      </c>
      <c r="E50" s="278">
        <f>IF((E55/365)=0,0,+E54/(E55/365))</f>
        <v>35.852629908572688</v>
      </c>
    </row>
    <row r="51" spans="1:5" ht="24" customHeight="1" x14ac:dyDescent="0.2">
      <c r="A51" s="17">
        <v>12</v>
      </c>
      <c r="B51" s="188" t="s">
        <v>350</v>
      </c>
      <c r="C51" s="279">
        <v>34835000</v>
      </c>
      <c r="D51" s="279">
        <v>29146000</v>
      </c>
      <c r="E51" s="279">
        <v>41819000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1411000</v>
      </c>
      <c r="E52" s="270">
        <v>2403000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2860000</v>
      </c>
      <c r="E53" s="270">
        <v>3987000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34835000</v>
      </c>
      <c r="D54" s="280">
        <f>+D51+D52-D53</f>
        <v>27697000</v>
      </c>
      <c r="E54" s="280">
        <f>+E51+E52-E53</f>
        <v>40235000</v>
      </c>
    </row>
    <row r="55" spans="1:5" ht="24" customHeight="1" x14ac:dyDescent="0.2">
      <c r="A55" s="17">
        <v>16</v>
      </c>
      <c r="B55" s="45" t="s">
        <v>75</v>
      </c>
      <c r="C55" s="270">
        <f>+C11</f>
        <v>371280000</v>
      </c>
      <c r="D55" s="270">
        <f>+D11</f>
        <v>369432000</v>
      </c>
      <c r="E55" s="270">
        <f>+E11</f>
        <v>409615000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50.044662303284824</v>
      </c>
      <c r="D57" s="283">
        <f>IF((D61/365)=0,0,+D58/(D61/365))</f>
        <v>54.537590107367471</v>
      </c>
      <c r="E57" s="283">
        <f>IF((E61/365)=0,0,+E58/(E61/365))</f>
        <v>59.570237613428198</v>
      </c>
    </row>
    <row r="58" spans="1:5" ht="24" customHeight="1" x14ac:dyDescent="0.2">
      <c r="A58" s="17">
        <v>18</v>
      </c>
      <c r="B58" s="45" t="s">
        <v>54</v>
      </c>
      <c r="C58" s="281">
        <f>+C40</f>
        <v>49103000</v>
      </c>
      <c r="D58" s="281">
        <f>+D40</f>
        <v>52006000</v>
      </c>
      <c r="E58" s="281">
        <f>+E40</f>
        <v>61295000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377600000</v>
      </c>
      <c r="D59" s="281">
        <f t="shared" si="0"/>
        <v>365999000</v>
      </c>
      <c r="E59" s="281">
        <f t="shared" si="0"/>
        <v>393525000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19468000</v>
      </c>
      <c r="D60" s="176">
        <f t="shared" si="0"/>
        <v>17942000</v>
      </c>
      <c r="E60" s="176">
        <f t="shared" si="0"/>
        <v>17957000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358132000</v>
      </c>
      <c r="D61" s="281">
        <f>+D59-D60</f>
        <v>348057000</v>
      </c>
      <c r="E61" s="281">
        <f>+E59-E60</f>
        <v>375568000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30.422805084329401</v>
      </c>
      <c r="D65" s="284">
        <f>IF(D67=0,0,(D66/D67)*100)</f>
        <v>33.223460402808698</v>
      </c>
      <c r="E65" s="284">
        <f>IF(E67=0,0,(E66/E67)*100)</f>
        <v>35.063111910807066</v>
      </c>
    </row>
    <row r="66" spans="1:5" ht="24" customHeight="1" x14ac:dyDescent="0.2">
      <c r="A66" s="17">
        <v>2</v>
      </c>
      <c r="B66" s="45" t="s">
        <v>67</v>
      </c>
      <c r="C66" s="281">
        <f>+C32</f>
        <v>86691000</v>
      </c>
      <c r="D66" s="281">
        <f>+D32</f>
        <v>100592000</v>
      </c>
      <c r="E66" s="281">
        <f>+E32</f>
        <v>116142000</v>
      </c>
    </row>
    <row r="67" spans="1:5" ht="24" customHeight="1" x14ac:dyDescent="0.2">
      <c r="A67" s="17">
        <v>3</v>
      </c>
      <c r="B67" s="45" t="s">
        <v>43</v>
      </c>
      <c r="C67" s="281">
        <v>284954000</v>
      </c>
      <c r="D67" s="281">
        <v>302774000</v>
      </c>
      <c r="E67" s="281">
        <v>331237000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19.4681076285625</v>
      </c>
      <c r="D69" s="284">
        <f>IF(D75=0,0,(D72/D75)*100)</f>
        <v>34.010751278353219</v>
      </c>
      <c r="E69" s="284">
        <f>IF(E75=0,0,(E72/E75)*100)</f>
        <v>40.422504772538993</v>
      </c>
    </row>
    <row r="70" spans="1:5" ht="24" customHeight="1" x14ac:dyDescent="0.2">
      <c r="A70" s="17">
        <v>5</v>
      </c>
      <c r="B70" s="45" t="s">
        <v>358</v>
      </c>
      <c r="C70" s="281">
        <f>+C28</f>
        <v>-157000</v>
      </c>
      <c r="D70" s="281">
        <f>+D28</f>
        <v>15780000</v>
      </c>
      <c r="E70" s="281">
        <f>+E28</f>
        <v>26933000</v>
      </c>
    </row>
    <row r="71" spans="1:5" ht="24" customHeight="1" x14ac:dyDescent="0.2">
      <c r="A71" s="17">
        <v>6</v>
      </c>
      <c r="B71" s="45" t="s">
        <v>347</v>
      </c>
      <c r="C71" s="176">
        <f>+C47</f>
        <v>19468000</v>
      </c>
      <c r="D71" s="176">
        <f>+D47</f>
        <v>17942000</v>
      </c>
      <c r="E71" s="176">
        <f>+E47</f>
        <v>17957000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19311000</v>
      </c>
      <c r="D72" s="281">
        <f>+D70+D71</f>
        <v>33722000</v>
      </c>
      <c r="E72" s="281">
        <f>+E70+E71</f>
        <v>44890000</v>
      </c>
    </row>
    <row r="73" spans="1:5" ht="24" customHeight="1" x14ac:dyDescent="0.2">
      <c r="A73" s="17">
        <v>8</v>
      </c>
      <c r="B73" s="45" t="s">
        <v>54</v>
      </c>
      <c r="C73" s="270">
        <f>+C40</f>
        <v>49103000</v>
      </c>
      <c r="D73" s="270">
        <f>+D40</f>
        <v>52006000</v>
      </c>
      <c r="E73" s="270">
        <f>+E40</f>
        <v>61295000</v>
      </c>
    </row>
    <row r="74" spans="1:5" ht="24" customHeight="1" x14ac:dyDescent="0.2">
      <c r="A74" s="17">
        <v>9</v>
      </c>
      <c r="B74" s="45" t="s">
        <v>58</v>
      </c>
      <c r="C74" s="281">
        <v>50090000</v>
      </c>
      <c r="D74" s="281">
        <v>47145000</v>
      </c>
      <c r="E74" s="281">
        <v>49757000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99193000</v>
      </c>
      <c r="D75" s="270">
        <f>+D73+D74</f>
        <v>99151000</v>
      </c>
      <c r="E75" s="270">
        <f>+E73+E74</f>
        <v>111052000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36.620583268143967</v>
      </c>
      <c r="D77" s="286">
        <f>IF(D80=0,0,(D78/D80)*100)</f>
        <v>31.911437216134075</v>
      </c>
      <c r="E77" s="286">
        <f>IF(E80=0,0,(E78/E80)*100)</f>
        <v>29.99234473987185</v>
      </c>
    </row>
    <row r="78" spans="1:5" ht="24" customHeight="1" x14ac:dyDescent="0.2">
      <c r="A78" s="17">
        <v>12</v>
      </c>
      <c r="B78" s="45" t="s">
        <v>58</v>
      </c>
      <c r="C78" s="270">
        <f>+C74</f>
        <v>50090000</v>
      </c>
      <c r="D78" s="270">
        <f>+D74</f>
        <v>47145000</v>
      </c>
      <c r="E78" s="270">
        <f>+E74</f>
        <v>49757000</v>
      </c>
    </row>
    <row r="79" spans="1:5" ht="24" customHeight="1" x14ac:dyDescent="0.2">
      <c r="A79" s="17">
        <v>13</v>
      </c>
      <c r="B79" s="45" t="s">
        <v>67</v>
      </c>
      <c r="C79" s="270">
        <f>+C32</f>
        <v>86691000</v>
      </c>
      <c r="D79" s="270">
        <f>+D32</f>
        <v>100592000</v>
      </c>
      <c r="E79" s="270">
        <f>+E32</f>
        <v>116142000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136781000</v>
      </c>
      <c r="D80" s="270">
        <f>+D78+D79</f>
        <v>147737000</v>
      </c>
      <c r="E80" s="270">
        <f>+E78+E79</f>
        <v>165899000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FILING&amp;R&amp;8BRIDGEPORT HOSPITAL &amp;AMP; HEALTHCARE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66837</v>
      </c>
      <c r="D11" s="296">
        <v>12238</v>
      </c>
      <c r="E11" s="296">
        <v>12652</v>
      </c>
      <c r="F11" s="297">
        <v>184</v>
      </c>
      <c r="G11" s="297">
        <v>229</v>
      </c>
      <c r="H11" s="298">
        <f>IF(F11=0,0,$C11/(F11*365))</f>
        <v>0.99519058963668849</v>
      </c>
      <c r="I11" s="298">
        <f>IF(G11=0,0,$C11/(G11*365))</f>
        <v>0.79962912005742659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7427</v>
      </c>
      <c r="D13" s="296">
        <v>477</v>
      </c>
      <c r="E13" s="296">
        <v>0</v>
      </c>
      <c r="F13" s="297">
        <v>21</v>
      </c>
      <c r="G13" s="297">
        <v>36</v>
      </c>
      <c r="H13" s="298">
        <f>IF(F13=0,0,$C13/(F13*365))</f>
        <v>0.9689497716894977</v>
      </c>
      <c r="I13" s="298">
        <f>IF(G13=0,0,$C13/(G13*365))</f>
        <v>0.56522070015220705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5985</v>
      </c>
      <c r="D16" s="296">
        <v>705</v>
      </c>
      <c r="E16" s="296">
        <v>630</v>
      </c>
      <c r="F16" s="297">
        <v>17</v>
      </c>
      <c r="G16" s="297">
        <v>19</v>
      </c>
      <c r="H16" s="298">
        <f t="shared" si="0"/>
        <v>0.96454472199838837</v>
      </c>
      <c r="I16" s="298">
        <f t="shared" si="0"/>
        <v>0.86301369863013699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5985</v>
      </c>
      <c r="D17" s="300">
        <f>SUM(D15:D16)</f>
        <v>705</v>
      </c>
      <c r="E17" s="300">
        <f>SUM(E15:E16)</f>
        <v>630</v>
      </c>
      <c r="F17" s="300">
        <f>SUM(F15:F16)</f>
        <v>17</v>
      </c>
      <c r="G17" s="300">
        <f>SUM(G15:G16)</f>
        <v>19</v>
      </c>
      <c r="H17" s="301">
        <f t="shared" si="0"/>
        <v>0.96454472199838837</v>
      </c>
      <c r="I17" s="301">
        <f t="shared" si="0"/>
        <v>0.86301369863013699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5352</v>
      </c>
      <c r="D19" s="296">
        <v>410</v>
      </c>
      <c r="E19" s="296">
        <v>408</v>
      </c>
      <c r="F19" s="297">
        <v>15</v>
      </c>
      <c r="G19" s="297">
        <v>18</v>
      </c>
      <c r="H19" s="298">
        <f>IF(F19=0,0,$C19/(F19*365))</f>
        <v>0.97753424657534249</v>
      </c>
      <c r="I19" s="298">
        <f>IF(G19=0,0,$C19/(G19*365))</f>
        <v>0.81461187214611874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7620</v>
      </c>
      <c r="D21" s="296">
        <v>2440</v>
      </c>
      <c r="E21" s="296">
        <v>2496</v>
      </c>
      <c r="F21" s="297">
        <v>21</v>
      </c>
      <c r="G21" s="297">
        <v>42</v>
      </c>
      <c r="H21" s="298">
        <f>IF(F21=0,0,$C21/(F21*365))</f>
        <v>0.9941291585127201</v>
      </c>
      <c r="I21" s="298">
        <f>IF(G21=0,0,$C21/(G21*365))</f>
        <v>0.49706457925636005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4798</v>
      </c>
      <c r="D23" s="296">
        <v>1970</v>
      </c>
      <c r="E23" s="296">
        <v>2030</v>
      </c>
      <c r="F23" s="297">
        <v>14</v>
      </c>
      <c r="G23" s="297">
        <v>24</v>
      </c>
      <c r="H23" s="298">
        <f>IF(F23=0,0,$C23/(F23*365))</f>
        <v>0.93894324853228961</v>
      </c>
      <c r="I23" s="298">
        <f>IF(G23=0,0,$C23/(G23*365))</f>
        <v>0.54771689497716891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3933</v>
      </c>
      <c r="D25" s="296">
        <v>257</v>
      </c>
      <c r="E25" s="296">
        <v>0</v>
      </c>
      <c r="F25" s="297">
        <v>11</v>
      </c>
      <c r="G25" s="297">
        <v>20</v>
      </c>
      <c r="H25" s="298">
        <f>IF(F25=0,0,$C25/(F25*365))</f>
        <v>0.97957658779576584</v>
      </c>
      <c r="I25" s="298">
        <f>IF(G25=0,0,$C25/(G25*365))</f>
        <v>0.53876712328767118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2143</v>
      </c>
      <c r="D27" s="296">
        <v>1038</v>
      </c>
      <c r="E27" s="296">
        <v>810</v>
      </c>
      <c r="F27" s="297">
        <v>6</v>
      </c>
      <c r="G27" s="297">
        <v>18</v>
      </c>
      <c r="H27" s="298">
        <f>IF(F27=0,0,$C27/(F27*365))</f>
        <v>0.97853881278538812</v>
      </c>
      <c r="I27" s="298">
        <f>IF(G27=0,0,$C27/(G27*365))</f>
        <v>0.32617960426179604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99297</v>
      </c>
      <c r="D31" s="300">
        <f>SUM(D10:D29)-D13-D17-D23</f>
        <v>17088</v>
      </c>
      <c r="E31" s="300">
        <f>SUM(E10:E29)-E17-E23</f>
        <v>16996</v>
      </c>
      <c r="F31" s="300">
        <f>SUM(F10:F29)-F17-F23</f>
        <v>275</v>
      </c>
      <c r="G31" s="300">
        <f>SUM(G10:G29)-G17-G23</f>
        <v>382</v>
      </c>
      <c r="H31" s="301">
        <f>IF(F31=0,0,$C31/(F31*365))</f>
        <v>0.98926027397260274</v>
      </c>
      <c r="I31" s="301">
        <f>IF(G31=0,0,$C31/(G31*365))</f>
        <v>0.71216380979703076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104095</v>
      </c>
      <c r="D33" s="300">
        <f>SUM(D10:D29)-D13-D17</f>
        <v>19058</v>
      </c>
      <c r="E33" s="300">
        <f>SUM(E10:E29)-E17</f>
        <v>19026</v>
      </c>
      <c r="F33" s="300">
        <f>SUM(F10:F29)-F17</f>
        <v>289</v>
      </c>
      <c r="G33" s="300">
        <f>SUM(G10:G29)-G17</f>
        <v>406</v>
      </c>
      <c r="H33" s="301">
        <f>IF(F33=0,0,$C33/(F33*365))</f>
        <v>0.98682277101009619</v>
      </c>
      <c r="I33" s="301">
        <f>IF(G33=0,0,$C33/(G33*365))</f>
        <v>0.70244280990620145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104095</v>
      </c>
      <c r="D36" s="300">
        <f t="shared" si="1"/>
        <v>19058</v>
      </c>
      <c r="E36" s="300">
        <f t="shared" si="1"/>
        <v>19026</v>
      </c>
      <c r="F36" s="300">
        <f t="shared" si="1"/>
        <v>289</v>
      </c>
      <c r="G36" s="300">
        <f t="shared" si="1"/>
        <v>406</v>
      </c>
      <c r="H36" s="301">
        <f t="shared" si="1"/>
        <v>0.98682277101009619</v>
      </c>
      <c r="I36" s="301">
        <f t="shared" si="1"/>
        <v>0.70244280990620145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104729</v>
      </c>
      <c r="D37" s="300">
        <v>0</v>
      </c>
      <c r="E37" s="300">
        <v>0</v>
      </c>
      <c r="F37" s="302">
        <v>290</v>
      </c>
      <c r="G37" s="302">
        <v>397</v>
      </c>
      <c r="H37" s="301">
        <f>IF(F37=0,0,$C37/(F37*365))</f>
        <v>0.9894095418044403</v>
      </c>
      <c r="I37" s="301">
        <f>IF(G37=0,0,$C37/(G37*365))</f>
        <v>0.72274248645664396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-634</v>
      </c>
      <c r="D38" s="300">
        <f t="shared" si="2"/>
        <v>19058</v>
      </c>
      <c r="E38" s="300">
        <f t="shared" si="2"/>
        <v>19026</v>
      </c>
      <c r="F38" s="300">
        <f t="shared" si="2"/>
        <v>-1</v>
      </c>
      <c r="G38" s="300">
        <f t="shared" si="2"/>
        <v>9</v>
      </c>
      <c r="H38" s="301">
        <f t="shared" si="2"/>
        <v>-2.5867707943441065E-3</v>
      </c>
      <c r="I38" s="301">
        <f t="shared" si="2"/>
        <v>-2.0299676550442514E-2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-6.0537196001107622E-3</v>
      </c>
      <c r="D40" s="148">
        <f t="shared" si="3"/>
        <v>0</v>
      </c>
      <c r="E40" s="148">
        <f t="shared" si="3"/>
        <v>0</v>
      </c>
      <c r="F40" s="148">
        <f t="shared" si="3"/>
        <v>-3.4482758620689655E-3</v>
      </c>
      <c r="G40" s="148">
        <f t="shared" si="3"/>
        <v>2.2670025188916875E-2</v>
      </c>
      <c r="H40" s="148">
        <f t="shared" si="3"/>
        <v>-2.6144591142980805E-3</v>
      </c>
      <c r="I40" s="148">
        <f t="shared" si="3"/>
        <v>-2.8087011530157576E-2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425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11699</v>
      </c>
      <c r="D12" s="296">
        <v>9588</v>
      </c>
      <c r="E12" s="296">
        <f>+D12-C12</f>
        <v>-2111</v>
      </c>
      <c r="F12" s="316">
        <f>IF(C12=0,0,+E12/C12)</f>
        <v>-0.18044277288657151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2326</v>
      </c>
      <c r="D13" s="296">
        <v>1979</v>
      </c>
      <c r="E13" s="296">
        <f>+D13-C13</f>
        <v>-347</v>
      </c>
      <c r="F13" s="316">
        <f>IF(C13=0,0,+E13/C13)</f>
        <v>-0.14918314703353397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9373</v>
      </c>
      <c r="D14" s="296">
        <v>9206</v>
      </c>
      <c r="E14" s="296">
        <f>+D14-C14</f>
        <v>-167</v>
      </c>
      <c r="F14" s="316">
        <f>IF(C14=0,0,+E14/C14)</f>
        <v>-1.7817134321988691E-2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23398</v>
      </c>
      <c r="D16" s="300">
        <f>SUM(D12:D15)</f>
        <v>20773</v>
      </c>
      <c r="E16" s="300">
        <f>+D16-C16</f>
        <v>-2625</v>
      </c>
      <c r="F16" s="309">
        <f>IF(C16=0,0,+E16/C16)</f>
        <v>-0.1121890759894008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973</v>
      </c>
      <c r="D19" s="296">
        <v>1122</v>
      </c>
      <c r="E19" s="296">
        <f>+D19-C19</f>
        <v>149</v>
      </c>
      <c r="F19" s="316">
        <f>IF(C19=0,0,+E19/C19)</f>
        <v>0.15313463514902365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0</v>
      </c>
      <c r="D20" s="296">
        <v>0</v>
      </c>
      <c r="E20" s="296">
        <f>+D20-C20</f>
        <v>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258</v>
      </c>
      <c r="D21" s="296">
        <v>287</v>
      </c>
      <c r="E21" s="296">
        <f>+D21-C21</f>
        <v>29</v>
      </c>
      <c r="F21" s="316">
        <f>IF(C21=0,0,+E21/C21)</f>
        <v>0.1124031007751938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1231</v>
      </c>
      <c r="D23" s="300">
        <f>SUM(D19:D22)</f>
        <v>1409</v>
      </c>
      <c r="E23" s="300">
        <f>+D23-C23</f>
        <v>178</v>
      </c>
      <c r="F23" s="309">
        <f>IF(C23=0,0,+E23/C23)</f>
        <v>0.14459788789601949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170</v>
      </c>
      <c r="D34" s="296">
        <v>166</v>
      </c>
      <c r="E34" s="296">
        <f>+D34-C34</f>
        <v>-4</v>
      </c>
      <c r="F34" s="316">
        <f>IF(C34=0,0,+E34/C34)</f>
        <v>-2.3529411764705882E-2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170</v>
      </c>
      <c r="D37" s="300">
        <f>SUM(D33:D36)</f>
        <v>166</v>
      </c>
      <c r="E37" s="300">
        <f>+D37-C37</f>
        <v>-4</v>
      </c>
      <c r="F37" s="309">
        <f>IF(C37=0,0,+E37/C37)</f>
        <v>-2.3529411764705882E-2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288</v>
      </c>
      <c r="D43" s="296">
        <v>200</v>
      </c>
      <c r="E43" s="296">
        <f>+D43-C43</f>
        <v>-88</v>
      </c>
      <c r="F43" s="316">
        <f>IF(C43=0,0,+E43/C43)</f>
        <v>-0.30555555555555558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8984</v>
      </c>
      <c r="D44" s="296">
        <v>6991</v>
      </c>
      <c r="E44" s="296">
        <f>+D44-C44</f>
        <v>-1993</v>
      </c>
      <c r="F44" s="316">
        <f>IF(C44=0,0,+E44/C44)</f>
        <v>-0.22183882457702583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9272</v>
      </c>
      <c r="D45" s="300">
        <f>SUM(D43:D44)</f>
        <v>7191</v>
      </c>
      <c r="E45" s="300">
        <f>+D45-C45</f>
        <v>-2081</v>
      </c>
      <c r="F45" s="309">
        <f>IF(C45=0,0,+E45/C45)</f>
        <v>-0.22443917169974115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623</v>
      </c>
      <c r="D48" s="296">
        <v>480</v>
      </c>
      <c r="E48" s="296">
        <f>+D48-C48</f>
        <v>-143</v>
      </c>
      <c r="F48" s="316">
        <f>IF(C48=0,0,+E48/C48)</f>
        <v>-0.22953451043338685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345</v>
      </c>
      <c r="D49" s="296">
        <v>394</v>
      </c>
      <c r="E49" s="296">
        <f>+D49-C49</f>
        <v>49</v>
      </c>
      <c r="F49" s="316">
        <f>IF(C49=0,0,+E49/C49)</f>
        <v>0.14202898550724638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968</v>
      </c>
      <c r="D50" s="300">
        <f>SUM(D48:D49)</f>
        <v>874</v>
      </c>
      <c r="E50" s="300">
        <f>+D50-C50</f>
        <v>-94</v>
      </c>
      <c r="F50" s="309">
        <f>IF(C50=0,0,+E50/C50)</f>
        <v>-9.7107438016528921E-2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182</v>
      </c>
      <c r="D53" s="296">
        <v>192</v>
      </c>
      <c r="E53" s="296">
        <f>+D53-C53</f>
        <v>10</v>
      </c>
      <c r="F53" s="316">
        <f>IF(C53=0,0,+E53/C53)</f>
        <v>5.4945054945054944E-2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300</v>
      </c>
      <c r="D54" s="296">
        <v>279</v>
      </c>
      <c r="E54" s="296">
        <f>+D54-C54</f>
        <v>-21</v>
      </c>
      <c r="F54" s="316">
        <f>IF(C54=0,0,+E54/C54)</f>
        <v>-7.0000000000000007E-2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482</v>
      </c>
      <c r="D55" s="300">
        <f>SUM(D53:D54)</f>
        <v>471</v>
      </c>
      <c r="E55" s="300">
        <f>+D55-C55</f>
        <v>-11</v>
      </c>
      <c r="F55" s="309">
        <f>IF(C55=0,0,+E55/C55)</f>
        <v>-2.2821576763485476E-2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105</v>
      </c>
      <c r="D58" s="296">
        <v>95</v>
      </c>
      <c r="E58" s="296">
        <f>+D58-C58</f>
        <v>-10</v>
      </c>
      <c r="F58" s="316">
        <f>IF(C58=0,0,+E58/C58)</f>
        <v>-9.5238095238095233E-2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222</v>
      </c>
      <c r="D59" s="296">
        <v>239</v>
      </c>
      <c r="E59" s="296">
        <f>+D59-C59</f>
        <v>17</v>
      </c>
      <c r="F59" s="316">
        <f>IF(C59=0,0,+E59/C59)</f>
        <v>7.6576576576576572E-2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327</v>
      </c>
      <c r="D60" s="300">
        <f>SUM(D58:D59)</f>
        <v>334</v>
      </c>
      <c r="E60" s="300">
        <f>SUM(E58:E59)</f>
        <v>7</v>
      </c>
      <c r="F60" s="309">
        <f>IF(C60=0,0,+E60/C60)</f>
        <v>2.1406727828746176E-2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4217</v>
      </c>
      <c r="D63" s="296">
        <v>4078</v>
      </c>
      <c r="E63" s="296">
        <f>+D63-C63</f>
        <v>-139</v>
      </c>
      <c r="F63" s="316">
        <f>IF(C63=0,0,+E63/C63)</f>
        <v>-3.2961821199905143E-2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7245</v>
      </c>
      <c r="D64" s="296">
        <v>7528</v>
      </c>
      <c r="E64" s="296">
        <f>+D64-C64</f>
        <v>283</v>
      </c>
      <c r="F64" s="316">
        <f>IF(C64=0,0,+E64/C64)</f>
        <v>3.9061421670117322E-2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11462</v>
      </c>
      <c r="D65" s="300">
        <f>SUM(D63:D64)</f>
        <v>11606</v>
      </c>
      <c r="E65" s="300">
        <f>+D65-C65</f>
        <v>144</v>
      </c>
      <c r="F65" s="309">
        <f>IF(C65=0,0,+E65/C65)</f>
        <v>1.2563252486477055E-2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1085</v>
      </c>
      <c r="D68" s="296">
        <v>1104</v>
      </c>
      <c r="E68" s="296">
        <f>+D68-C68</f>
        <v>19</v>
      </c>
      <c r="F68" s="316">
        <f>IF(C68=0,0,+E68/C68)</f>
        <v>1.7511520737327188E-2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5773</v>
      </c>
      <c r="D69" s="296">
        <v>5769</v>
      </c>
      <c r="E69" s="296">
        <f>+D69-C69</f>
        <v>-4</v>
      </c>
      <c r="F69" s="318">
        <f>IF(C69=0,0,+E69/C69)</f>
        <v>-6.9288065130781226E-4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6858</v>
      </c>
      <c r="D70" s="300">
        <f>SUM(D68:D69)</f>
        <v>6873</v>
      </c>
      <c r="E70" s="300">
        <f>+D70-C70</f>
        <v>15</v>
      </c>
      <c r="F70" s="309">
        <f>IF(C70=0,0,+E70/C70)</f>
        <v>2.1872265966754157E-3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10660</v>
      </c>
      <c r="D73" s="319">
        <v>11166</v>
      </c>
      <c r="E73" s="296">
        <f>+D73-C73</f>
        <v>506</v>
      </c>
      <c r="F73" s="316">
        <f>IF(C73=0,0,+E73/C73)</f>
        <v>4.7467166979362103E-2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65012</v>
      </c>
      <c r="D74" s="319">
        <v>65670</v>
      </c>
      <c r="E74" s="296">
        <f>+D74-C74</f>
        <v>658</v>
      </c>
      <c r="F74" s="316">
        <f>IF(C74=0,0,+E74/C74)</f>
        <v>1.0121208392296807E-2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75672</v>
      </c>
      <c r="D75" s="300">
        <f>SUM(D73:D74)</f>
        <v>76836</v>
      </c>
      <c r="E75" s="300">
        <f>SUM(E73:E74)</f>
        <v>1164</v>
      </c>
      <c r="F75" s="309">
        <f>IF(C75=0,0,+E75/C75)</f>
        <v>1.5382175705677133E-2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28057</v>
      </c>
      <c r="D82" s="319">
        <v>28887</v>
      </c>
      <c r="E82" s="296">
        <f t="shared" si="0"/>
        <v>830</v>
      </c>
      <c r="F82" s="316">
        <f t="shared" si="1"/>
        <v>2.9582635349467156E-2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7545</v>
      </c>
      <c r="D83" s="319">
        <v>7304</v>
      </c>
      <c r="E83" s="296">
        <f t="shared" si="0"/>
        <v>-241</v>
      </c>
      <c r="F83" s="316">
        <f t="shared" si="1"/>
        <v>-3.1941683233929756E-2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35602</v>
      </c>
      <c r="D84" s="320">
        <f>SUM(D79:D83)</f>
        <v>36191</v>
      </c>
      <c r="E84" s="300">
        <f t="shared" si="0"/>
        <v>589</v>
      </c>
      <c r="F84" s="309">
        <f t="shared" si="1"/>
        <v>1.6544014381214538E-2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40280</v>
      </c>
      <c r="D87" s="322">
        <v>41229</v>
      </c>
      <c r="E87" s="323">
        <f t="shared" ref="E87:E92" si="2">+D87-C87</f>
        <v>949</v>
      </c>
      <c r="F87" s="318">
        <f t="shared" ref="F87:F92" si="3">IF(C87=0,0,+E87/C87)</f>
        <v>2.356007944389275E-2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3812</v>
      </c>
      <c r="D88" s="322">
        <v>4005</v>
      </c>
      <c r="E88" s="296">
        <f t="shared" si="2"/>
        <v>193</v>
      </c>
      <c r="F88" s="316">
        <f t="shared" si="3"/>
        <v>5.0629590766002097E-2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709</v>
      </c>
      <c r="D89" s="322">
        <v>772</v>
      </c>
      <c r="E89" s="296">
        <f t="shared" si="2"/>
        <v>63</v>
      </c>
      <c r="F89" s="316">
        <f t="shared" si="3"/>
        <v>8.8857545839210156E-2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5773</v>
      </c>
      <c r="D90" s="322">
        <v>5769</v>
      </c>
      <c r="E90" s="296">
        <f t="shared" si="2"/>
        <v>-4</v>
      </c>
      <c r="F90" s="316">
        <f t="shared" si="3"/>
        <v>-6.9288065130781226E-4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85468</v>
      </c>
      <c r="D91" s="322">
        <v>95520</v>
      </c>
      <c r="E91" s="296">
        <f t="shared" si="2"/>
        <v>10052</v>
      </c>
      <c r="F91" s="316">
        <f t="shared" si="3"/>
        <v>0.11761126971498105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136042</v>
      </c>
      <c r="D92" s="320">
        <f>SUM(D87:D91)</f>
        <v>147295</v>
      </c>
      <c r="E92" s="300">
        <f t="shared" si="2"/>
        <v>11253</v>
      </c>
      <c r="F92" s="309">
        <f t="shared" si="3"/>
        <v>8.2717102071419121E-2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571.6</v>
      </c>
      <c r="D96" s="325">
        <v>580.1</v>
      </c>
      <c r="E96" s="326">
        <f>+D96-C96</f>
        <v>8.5</v>
      </c>
      <c r="F96" s="316">
        <f>IF(C96=0,0,+E96/C96)</f>
        <v>1.4870538838348496E-2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139.80000000000001</v>
      </c>
      <c r="D97" s="325">
        <v>135.9</v>
      </c>
      <c r="E97" s="326">
        <f>+D97-C97</f>
        <v>-3.9000000000000057</v>
      </c>
      <c r="F97" s="316">
        <f>IF(C97=0,0,+E97/C97)</f>
        <v>-2.7896995708154546E-2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1304</v>
      </c>
      <c r="D98" s="325">
        <v>1369.9</v>
      </c>
      <c r="E98" s="326">
        <f>+D98-C98</f>
        <v>65.900000000000091</v>
      </c>
      <c r="F98" s="316">
        <f>IF(C98=0,0,+E98/C98)</f>
        <v>5.0536809815950989E-2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2015.4</v>
      </c>
      <c r="D99" s="327">
        <f>SUM(D96:D98)</f>
        <v>2085.9</v>
      </c>
      <c r="E99" s="327">
        <f>+D99-C99</f>
        <v>70.5</v>
      </c>
      <c r="F99" s="309">
        <f>IF(C99=0,0,+E99/C99)</f>
        <v>3.4980649002679366E-2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7245</v>
      </c>
      <c r="D12" s="296">
        <v>7528</v>
      </c>
      <c r="E12" s="296">
        <f>+D12-C12</f>
        <v>283</v>
      </c>
      <c r="F12" s="316">
        <f>IF(C12=0,0,+E12/C12)</f>
        <v>3.9061421670117322E-2</v>
      </c>
    </row>
    <row r="13" spans="1:16" ht="15.75" customHeight="1" x14ac:dyDescent="0.25">
      <c r="A13" s="294"/>
      <c r="B13" s="135" t="s">
        <v>589</v>
      </c>
      <c r="C13" s="300">
        <f>SUM(C11:C12)</f>
        <v>7245</v>
      </c>
      <c r="D13" s="300">
        <f>SUM(D11:D12)</f>
        <v>7528</v>
      </c>
      <c r="E13" s="300">
        <f>+D13-C13</f>
        <v>283</v>
      </c>
      <c r="F13" s="309">
        <f>IF(C13=0,0,+E13/C13)</f>
        <v>3.9061421670117322E-2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5773</v>
      </c>
      <c r="D16" s="296">
        <v>5769</v>
      </c>
      <c r="E16" s="296">
        <f>+D16-C16</f>
        <v>-4</v>
      </c>
      <c r="F16" s="316">
        <f>IF(C16=0,0,+E16/C16)</f>
        <v>-6.9288065130781226E-4</v>
      </c>
    </row>
    <row r="17" spans="1:6" ht="15.75" customHeight="1" x14ac:dyDescent="0.25">
      <c r="A17" s="294"/>
      <c r="B17" s="135" t="s">
        <v>590</v>
      </c>
      <c r="C17" s="300">
        <f>SUM(C15:C16)</f>
        <v>5773</v>
      </c>
      <c r="D17" s="300">
        <f>SUM(D15:D16)</f>
        <v>5769</v>
      </c>
      <c r="E17" s="300">
        <f>+D17-C17</f>
        <v>-4</v>
      </c>
      <c r="F17" s="309">
        <f>IF(C17=0,0,+E17/C17)</f>
        <v>-6.9288065130781226E-4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65012</v>
      </c>
      <c r="D20" s="296">
        <v>65670</v>
      </c>
      <c r="E20" s="296">
        <f>+D20-C20</f>
        <v>658</v>
      </c>
      <c r="F20" s="316">
        <f>IF(C20=0,0,+E20/C20)</f>
        <v>1.0121208392296807E-2</v>
      </c>
    </row>
    <row r="21" spans="1:6" ht="15.75" customHeight="1" x14ac:dyDescent="0.25">
      <c r="A21" s="294"/>
      <c r="B21" s="135" t="s">
        <v>592</v>
      </c>
      <c r="C21" s="300">
        <f>SUM(C19:C20)</f>
        <v>65012</v>
      </c>
      <c r="D21" s="300">
        <f>SUM(D19:D20)</f>
        <v>65670</v>
      </c>
      <c r="E21" s="300">
        <f>+D21-C21</f>
        <v>658</v>
      </c>
      <c r="F21" s="309">
        <f>IF(C21=0,0,+E21/C21)</f>
        <v>1.0121208392296807E-2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347619438</v>
      </c>
      <c r="D15" s="361">
        <v>355841758</v>
      </c>
      <c r="E15" s="361">
        <f t="shared" ref="E15:E24" si="0">D15-C15</f>
        <v>8222320</v>
      </c>
      <c r="F15" s="362">
        <f t="shared" ref="F15:F24" si="1">IF(C15=0,0,E15/C15)</f>
        <v>2.3653222752175327E-2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109039611</v>
      </c>
      <c r="D16" s="361">
        <v>116690530</v>
      </c>
      <c r="E16" s="361">
        <f t="shared" si="0"/>
        <v>7650919</v>
      </c>
      <c r="F16" s="362">
        <f t="shared" si="1"/>
        <v>7.0166418697146668E-2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0.31367524102607863</v>
      </c>
      <c r="D17" s="366">
        <f>IF(LN_IA1=0,0,LN_IA2/LN_IA1)</f>
        <v>0.32792815170388179</v>
      </c>
      <c r="E17" s="367">
        <f t="shared" si="0"/>
        <v>1.4252910677803154E-2</v>
      </c>
      <c r="F17" s="362">
        <f t="shared" si="1"/>
        <v>4.5438430623914568E-2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6937</v>
      </c>
      <c r="D18" s="369">
        <v>6932</v>
      </c>
      <c r="E18" s="369">
        <f t="shared" si="0"/>
        <v>-5</v>
      </c>
      <c r="F18" s="362">
        <f t="shared" si="1"/>
        <v>-7.207726683004181E-4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1.66225</v>
      </c>
      <c r="D19" s="372">
        <v>1.6128899999999999</v>
      </c>
      <c r="E19" s="373">
        <f t="shared" si="0"/>
        <v>-4.936000000000007E-2</v>
      </c>
      <c r="F19" s="362">
        <f t="shared" si="1"/>
        <v>-2.9694690930967105E-2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11531.028249999999</v>
      </c>
      <c r="D20" s="376">
        <f>LN_IA4*LN_IA5</f>
        <v>11180.553479999999</v>
      </c>
      <c r="E20" s="376">
        <f t="shared" si="0"/>
        <v>-350.47477000000072</v>
      </c>
      <c r="F20" s="362">
        <f t="shared" si="1"/>
        <v>-3.0394060477650874E-2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9456.1914719097149</v>
      </c>
      <c r="D21" s="378">
        <f>IF(LN_IA6=0,0,LN_IA2/LN_IA6)</f>
        <v>10436.918906451134</v>
      </c>
      <c r="E21" s="378">
        <f t="shared" si="0"/>
        <v>980.72743454141892</v>
      </c>
      <c r="F21" s="362">
        <f t="shared" si="1"/>
        <v>0.10371273016782064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52379</v>
      </c>
      <c r="D22" s="369">
        <v>51339</v>
      </c>
      <c r="E22" s="369">
        <f t="shared" si="0"/>
        <v>-1040</v>
      </c>
      <c r="F22" s="362">
        <f t="shared" si="1"/>
        <v>-1.9855285515187383E-2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2081.7428931441991</v>
      </c>
      <c r="D23" s="378">
        <f>IF(LN_IA8=0,0,LN_IA2/LN_IA8)</f>
        <v>2272.9412337599097</v>
      </c>
      <c r="E23" s="378">
        <f t="shared" si="0"/>
        <v>191.19834061571055</v>
      </c>
      <c r="F23" s="362">
        <f t="shared" si="1"/>
        <v>9.1845319249261648E-2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7.5506703185815196</v>
      </c>
      <c r="D24" s="379">
        <f>IF(LN_IA4=0,0,LN_IA8/LN_IA4)</f>
        <v>7.4060877091748409</v>
      </c>
      <c r="E24" s="379">
        <f t="shared" si="0"/>
        <v>-0.14458260940667866</v>
      </c>
      <c r="F24" s="362">
        <f t="shared" si="1"/>
        <v>-1.9148314428571182E-2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119913466</v>
      </c>
      <c r="D27" s="361">
        <v>145753576</v>
      </c>
      <c r="E27" s="361">
        <f t="shared" ref="E27:E32" si="2">D27-C27</f>
        <v>25840110</v>
      </c>
      <c r="F27" s="362">
        <f t="shared" ref="F27:F32" si="3">IF(C27=0,0,E27/C27)</f>
        <v>0.21548964317318622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22007322</v>
      </c>
      <c r="D28" s="361">
        <v>27661355</v>
      </c>
      <c r="E28" s="361">
        <f t="shared" si="2"/>
        <v>5654033</v>
      </c>
      <c r="F28" s="362">
        <f t="shared" si="3"/>
        <v>0.25691599368610141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0.18352669415793552</v>
      </c>
      <c r="D29" s="366">
        <f>IF(LN_IA11=0,0,LN_IA12/LN_IA11)</f>
        <v>0.1897816558545363</v>
      </c>
      <c r="E29" s="367">
        <f t="shared" si="2"/>
        <v>6.2549616966007804E-3</v>
      </c>
      <c r="F29" s="362">
        <f t="shared" si="3"/>
        <v>3.4082026733495335E-2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0.34495615863690571</v>
      </c>
      <c r="D30" s="366">
        <f>IF(LN_IA1=0,0,LN_IA11/LN_IA1)</f>
        <v>0.40960222549260222</v>
      </c>
      <c r="E30" s="367">
        <f t="shared" si="2"/>
        <v>6.4646066855696516E-2</v>
      </c>
      <c r="F30" s="362">
        <f t="shared" si="3"/>
        <v>0.18740371852221874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2392.9608724642148</v>
      </c>
      <c r="D31" s="376">
        <f>LN_IA14*LN_IA4</f>
        <v>2839.3626271147186</v>
      </c>
      <c r="E31" s="376">
        <f t="shared" si="2"/>
        <v>446.40175465050379</v>
      </c>
      <c r="F31" s="362">
        <f t="shared" si="3"/>
        <v>0.18654787037566969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9196.6911173676563</v>
      </c>
      <c r="D32" s="378">
        <f>IF(LN_IA15=0,0,LN_IA12/LN_IA15)</f>
        <v>9742.1001234029409</v>
      </c>
      <c r="E32" s="378">
        <f t="shared" si="2"/>
        <v>545.40900603528462</v>
      </c>
      <c r="F32" s="362">
        <f t="shared" si="3"/>
        <v>5.9304917287620676E-2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467532904</v>
      </c>
      <c r="D35" s="361">
        <f>LN_IA1+LN_IA11</f>
        <v>501595334</v>
      </c>
      <c r="E35" s="361">
        <f>D35-C35</f>
        <v>34062430</v>
      </c>
      <c r="F35" s="362">
        <f>IF(C35=0,0,E35/C35)</f>
        <v>7.2855685040726037E-2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131046933</v>
      </c>
      <c r="D36" s="361">
        <f>LN_IA2+LN_IA12</f>
        <v>144351885</v>
      </c>
      <c r="E36" s="361">
        <f>D36-C36</f>
        <v>13304952</v>
      </c>
      <c r="F36" s="362">
        <f>IF(C36=0,0,E36/C36)</f>
        <v>0.10152814488226138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336485971</v>
      </c>
      <c r="D37" s="361">
        <f>LN_IA17-LN_IA18</f>
        <v>357243449</v>
      </c>
      <c r="E37" s="361">
        <f>D37-C37</f>
        <v>20757478</v>
      </c>
      <c r="F37" s="362">
        <f>IF(C37=0,0,E37/C37)</f>
        <v>6.1688984947310031E-2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196128578</v>
      </c>
      <c r="D42" s="361">
        <v>213400151</v>
      </c>
      <c r="E42" s="361">
        <f t="shared" ref="E42:E53" si="4">D42-C42</f>
        <v>17271573</v>
      </c>
      <c r="F42" s="362">
        <f t="shared" ref="F42:F53" si="5">IF(C42=0,0,E42/C42)</f>
        <v>8.8062500509232269E-2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86137720</v>
      </c>
      <c r="D43" s="361">
        <v>95766076</v>
      </c>
      <c r="E43" s="361">
        <f t="shared" si="4"/>
        <v>9628356</v>
      </c>
      <c r="F43" s="362">
        <f t="shared" si="5"/>
        <v>0.11177862613498477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0.43919005011090223</v>
      </c>
      <c r="D44" s="366">
        <f>IF(LN_IB1=0,0,LN_IB2/LN_IB1)</f>
        <v>0.4487629251958683</v>
      </c>
      <c r="E44" s="367">
        <f t="shared" si="4"/>
        <v>9.5728750849660704E-3</v>
      </c>
      <c r="F44" s="362">
        <f t="shared" si="5"/>
        <v>2.1796657466508572E-2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6407</v>
      </c>
      <c r="D45" s="369">
        <v>6089</v>
      </c>
      <c r="E45" s="369">
        <f t="shared" si="4"/>
        <v>-318</v>
      </c>
      <c r="F45" s="362">
        <f t="shared" si="5"/>
        <v>-4.9633213672545654E-2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1.1827700000000001</v>
      </c>
      <c r="D46" s="372">
        <v>1.2248300000000001</v>
      </c>
      <c r="E46" s="373">
        <f t="shared" si="4"/>
        <v>4.2059999999999986E-2</v>
      </c>
      <c r="F46" s="362">
        <f t="shared" si="5"/>
        <v>3.5560590816473177E-2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7578.0073900000007</v>
      </c>
      <c r="D47" s="376">
        <f>LN_IB4*LN_IB5</f>
        <v>7457.9898700000003</v>
      </c>
      <c r="E47" s="376">
        <f t="shared" si="4"/>
        <v>-120.01752000000033</v>
      </c>
      <c r="F47" s="362">
        <f t="shared" si="5"/>
        <v>-1.583760925838848E-2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11366.803378110719</v>
      </c>
      <c r="D48" s="378">
        <f>IF(LN_IB6=0,0,LN_IB2/LN_IB6)</f>
        <v>12840.735596225742</v>
      </c>
      <c r="E48" s="378">
        <f t="shared" si="4"/>
        <v>1473.9322181150237</v>
      </c>
      <c r="F48" s="362">
        <f t="shared" si="5"/>
        <v>0.12966989654746774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-1910.6119062010039</v>
      </c>
      <c r="D49" s="378">
        <f>LN_IA7-LN_IB7</f>
        <v>-2403.8166897746087</v>
      </c>
      <c r="E49" s="378">
        <f t="shared" si="4"/>
        <v>-493.2047835736048</v>
      </c>
      <c r="F49" s="362">
        <f t="shared" si="5"/>
        <v>0.2581396996286266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-14478631.144613195</v>
      </c>
      <c r="D50" s="391">
        <f>LN_IB8*LN_IB6</f>
        <v>-17927640.521675967</v>
      </c>
      <c r="E50" s="391">
        <f t="shared" si="4"/>
        <v>-3449009.3770627715</v>
      </c>
      <c r="F50" s="362">
        <f t="shared" si="5"/>
        <v>0.23821377467344229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24833</v>
      </c>
      <c r="D51" s="369">
        <v>25520</v>
      </c>
      <c r="E51" s="369">
        <f t="shared" si="4"/>
        <v>687</v>
      </c>
      <c r="F51" s="362">
        <f t="shared" si="5"/>
        <v>2.7664800869810335E-2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3468.6795795916723</v>
      </c>
      <c r="D52" s="378">
        <f>IF(LN_IB10=0,0,LN_IB2/LN_IB10)</f>
        <v>3752.589184952978</v>
      </c>
      <c r="E52" s="378">
        <f t="shared" si="4"/>
        <v>283.90960536130569</v>
      </c>
      <c r="F52" s="362">
        <f t="shared" si="5"/>
        <v>8.1849475815441886E-2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3.8759169658186359</v>
      </c>
      <c r="D53" s="379">
        <f>IF(LN_IB4=0,0,LN_IB10/LN_IB4)</f>
        <v>4.1911643948103139</v>
      </c>
      <c r="E53" s="379">
        <f t="shared" si="4"/>
        <v>0.31524742899167801</v>
      </c>
      <c r="F53" s="362">
        <f t="shared" si="5"/>
        <v>8.1334928423858616E-2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209077063</v>
      </c>
      <c r="D56" s="361">
        <v>247235586</v>
      </c>
      <c r="E56" s="361">
        <f t="shared" ref="E56:E63" si="6">D56-C56</f>
        <v>38158523</v>
      </c>
      <c r="F56" s="362">
        <f t="shared" ref="F56:F63" si="7">IF(C56=0,0,E56/C56)</f>
        <v>0.18250936976286108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66534182</v>
      </c>
      <c r="D57" s="361">
        <v>86464944</v>
      </c>
      <c r="E57" s="361">
        <f t="shared" si="6"/>
        <v>19930762</v>
      </c>
      <c r="F57" s="362">
        <f t="shared" si="7"/>
        <v>0.29955673010303185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0.31822803058985</v>
      </c>
      <c r="D58" s="366">
        <f>IF(LN_IB13=0,0,LN_IB14/LN_IB13)</f>
        <v>0.34972693615392403</v>
      </c>
      <c r="E58" s="367">
        <f t="shared" si="6"/>
        <v>3.1498905564074031E-2</v>
      </c>
      <c r="F58" s="362">
        <f t="shared" si="7"/>
        <v>9.8982184271100795E-2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1.0660203889307758</v>
      </c>
      <c r="D59" s="366">
        <f>IF(LN_IB1=0,0,LN_IB13/LN_IB1)</f>
        <v>1.1585539412294044</v>
      </c>
      <c r="E59" s="367">
        <f t="shared" si="6"/>
        <v>9.2533552298628585E-2</v>
      </c>
      <c r="F59" s="362">
        <f t="shared" si="7"/>
        <v>8.6802797825884209E-2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6829.9926318794805</v>
      </c>
      <c r="D60" s="376">
        <f>LN_IB16*LN_IB4</f>
        <v>7054.434948145843</v>
      </c>
      <c r="E60" s="376">
        <f t="shared" si="6"/>
        <v>224.44231626636247</v>
      </c>
      <c r="F60" s="362">
        <f t="shared" si="7"/>
        <v>3.286128234147162E-2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9741.4720023923492</v>
      </c>
      <c r="D61" s="378">
        <f>IF(LN_IB17=0,0,LN_IB14/LN_IB17)</f>
        <v>12256.820657581664</v>
      </c>
      <c r="E61" s="378">
        <f t="shared" si="6"/>
        <v>2515.3486551893147</v>
      </c>
      <c r="F61" s="362">
        <f t="shared" si="7"/>
        <v>0.25821032535653599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-544.78088502469291</v>
      </c>
      <c r="D62" s="378">
        <f>LN_IA16-LN_IB18</f>
        <v>-2514.720534178723</v>
      </c>
      <c r="E62" s="378">
        <f t="shared" si="6"/>
        <v>-1969.9396491540301</v>
      </c>
      <c r="F62" s="362">
        <f t="shared" si="7"/>
        <v>3.6160219701260994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-3720849.4307074351</v>
      </c>
      <c r="D63" s="361">
        <f>LN_IB19*LN_IB17</f>
        <v>-17739932.421130367</v>
      </c>
      <c r="E63" s="361">
        <f t="shared" si="6"/>
        <v>-14019082.990422931</v>
      </c>
      <c r="F63" s="362">
        <f t="shared" si="7"/>
        <v>3.7677103713808489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405205641</v>
      </c>
      <c r="D66" s="361">
        <f>LN_IB1+LN_IB13</f>
        <v>460635737</v>
      </c>
      <c r="E66" s="361">
        <f>D66-C66</f>
        <v>55430096</v>
      </c>
      <c r="F66" s="362">
        <f>IF(C66=0,0,E66/C66)</f>
        <v>0.13679497615878453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152671902</v>
      </c>
      <c r="D67" s="361">
        <f>LN_IB2+LN_IB14</f>
        <v>182231020</v>
      </c>
      <c r="E67" s="361">
        <f>D67-C67</f>
        <v>29559118</v>
      </c>
      <c r="F67" s="362">
        <f>IF(C67=0,0,E67/C67)</f>
        <v>0.19361203740030697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252533739</v>
      </c>
      <c r="D68" s="361">
        <f>LN_IB21-LN_IB22</f>
        <v>278404717</v>
      </c>
      <c r="E68" s="361">
        <f>D68-C68</f>
        <v>25870978</v>
      </c>
      <c r="F68" s="362">
        <f>IF(C68=0,0,E68/C68)</f>
        <v>0.10244563004708056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-18199480.575320631</v>
      </c>
      <c r="D70" s="353">
        <f>LN_IB9+LN_IB20</f>
        <v>-35667572.942806333</v>
      </c>
      <c r="E70" s="361">
        <f>D70-C70</f>
        <v>-17468092.367485702</v>
      </c>
      <c r="F70" s="362">
        <f>IF(C70=0,0,E70/C70)</f>
        <v>0.95981268779578655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349741731</v>
      </c>
      <c r="D73" s="400">
        <v>401607588</v>
      </c>
      <c r="E73" s="400">
        <f>D73-C73</f>
        <v>51865857</v>
      </c>
      <c r="F73" s="401">
        <f>IF(C73=0,0,E73/C73)</f>
        <v>0.1482975933461026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135799425</v>
      </c>
      <c r="D74" s="400">
        <v>113130118</v>
      </c>
      <c r="E74" s="400">
        <f>D74-C74</f>
        <v>-22669307</v>
      </c>
      <c r="F74" s="401">
        <f>IF(C74=0,0,E74/C74)</f>
        <v>-0.16693227530234389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213942306</v>
      </c>
      <c r="D76" s="353">
        <f>LN_IB32-LN_IB33</f>
        <v>288477470</v>
      </c>
      <c r="E76" s="400">
        <f>D76-C76</f>
        <v>74535164</v>
      </c>
      <c r="F76" s="401">
        <f>IF(C76=0,0,E76/C76)</f>
        <v>0.34838908392433615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0.61171512300886965</v>
      </c>
      <c r="D77" s="366">
        <f>IF(LN_IB1=0,0,LN_IB34/LN_IB32)</f>
        <v>0.71830682143386193</v>
      </c>
      <c r="E77" s="405">
        <f>D77-C77</f>
        <v>0.10659169842499228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9670822</v>
      </c>
      <c r="D83" s="361">
        <v>9870815</v>
      </c>
      <c r="E83" s="361">
        <f t="shared" ref="E83:E95" si="8">D83-C83</f>
        <v>199993</v>
      </c>
      <c r="F83" s="362">
        <f t="shared" ref="F83:F95" si="9">IF(C83=0,0,E83/C83)</f>
        <v>2.068004146907057E-2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952380</v>
      </c>
      <c r="D84" s="361">
        <v>2770737</v>
      </c>
      <c r="E84" s="361">
        <f t="shared" si="8"/>
        <v>1818357</v>
      </c>
      <c r="F84" s="362">
        <f t="shared" si="9"/>
        <v>1.9092767592767592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9.8479736262336331E-2</v>
      </c>
      <c r="D85" s="366">
        <f>IF(LN_IC1=0,0,LN_IC2/LN_IC1)</f>
        <v>0.28069992194160259</v>
      </c>
      <c r="E85" s="367">
        <f t="shared" si="8"/>
        <v>0.18222018567926626</v>
      </c>
      <c r="F85" s="362">
        <f t="shared" si="9"/>
        <v>1.8503317798684698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311</v>
      </c>
      <c r="D86" s="369">
        <v>262</v>
      </c>
      <c r="E86" s="369">
        <f t="shared" si="8"/>
        <v>-49</v>
      </c>
      <c r="F86" s="362">
        <f t="shared" si="9"/>
        <v>-0.15755627009646303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1.18285</v>
      </c>
      <c r="D87" s="372">
        <v>1.14876</v>
      </c>
      <c r="E87" s="373">
        <f t="shared" si="8"/>
        <v>-3.4089999999999954E-2</v>
      </c>
      <c r="F87" s="362">
        <f t="shared" si="9"/>
        <v>-2.882022234433779E-2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367.86635000000001</v>
      </c>
      <c r="D88" s="376">
        <f>LN_IC4*LN_IC5</f>
        <v>300.97512</v>
      </c>
      <c r="E88" s="376">
        <f t="shared" si="8"/>
        <v>-66.891230000000007</v>
      </c>
      <c r="F88" s="362">
        <f t="shared" si="9"/>
        <v>-0.18183568570487627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2588.9293761171684</v>
      </c>
      <c r="D89" s="378">
        <f>IF(LN_IC6=0,0,LN_IC2/LN_IC6)</f>
        <v>9205.867249093546</v>
      </c>
      <c r="E89" s="378">
        <f t="shared" si="8"/>
        <v>6616.9378729763775</v>
      </c>
      <c r="F89" s="362">
        <f t="shared" si="9"/>
        <v>2.5558587785427918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8777.8740019935503</v>
      </c>
      <c r="D90" s="378">
        <f>LN_IB7-LN_IC7</f>
        <v>3634.8683471321965</v>
      </c>
      <c r="E90" s="378">
        <f t="shared" si="8"/>
        <v>-5143.0056548613538</v>
      </c>
      <c r="F90" s="362">
        <f t="shared" si="9"/>
        <v>-0.58590561378453621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6867.2620957925465</v>
      </c>
      <c r="D91" s="378">
        <f>LN_IA7-LN_IC7</f>
        <v>1231.0516573575878</v>
      </c>
      <c r="E91" s="378">
        <f t="shared" si="8"/>
        <v>-5636.2104384349586</v>
      </c>
      <c r="F91" s="362">
        <f t="shared" si="9"/>
        <v>-0.82073617692386724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2526234.6416725544</v>
      </c>
      <c r="D92" s="353">
        <f>LN_IC9*LN_IC6</f>
        <v>370515.92029939889</v>
      </c>
      <c r="E92" s="353">
        <f t="shared" si="8"/>
        <v>-2155718.7213731557</v>
      </c>
      <c r="F92" s="362">
        <f t="shared" si="9"/>
        <v>-0.85333273711499347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1212</v>
      </c>
      <c r="D93" s="369">
        <v>1106</v>
      </c>
      <c r="E93" s="369">
        <f t="shared" si="8"/>
        <v>-106</v>
      </c>
      <c r="F93" s="362">
        <f t="shared" si="9"/>
        <v>-8.7458745874587462E-2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785.79207920792078</v>
      </c>
      <c r="D94" s="411">
        <f>IF(LN_IC11=0,0,LN_IC2/LN_IC11)</f>
        <v>2505.1871609403256</v>
      </c>
      <c r="E94" s="411">
        <f t="shared" si="8"/>
        <v>1719.3950817324048</v>
      </c>
      <c r="F94" s="362">
        <f t="shared" si="9"/>
        <v>2.1881043691170277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3.897106109324759</v>
      </c>
      <c r="D95" s="379">
        <f>IF(LN_IC4=0,0,LN_IC11/LN_IC4)</f>
        <v>4.221374045801527</v>
      </c>
      <c r="E95" s="379">
        <f t="shared" si="8"/>
        <v>0.32426793647676799</v>
      </c>
      <c r="F95" s="362">
        <f t="shared" si="9"/>
        <v>8.3207366538180561E-2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30889642</v>
      </c>
      <c r="D98" s="361">
        <v>33143267</v>
      </c>
      <c r="E98" s="361">
        <f t="shared" ref="E98:E106" si="10">D98-C98</f>
        <v>2253625</v>
      </c>
      <c r="F98" s="362">
        <f t="shared" ref="F98:F106" si="11">IF(C98=0,0,E98/C98)</f>
        <v>7.2957303940265797E-2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2336439</v>
      </c>
      <c r="D99" s="361">
        <v>2427657</v>
      </c>
      <c r="E99" s="361">
        <f t="shared" si="10"/>
        <v>91218</v>
      </c>
      <c r="F99" s="362">
        <f t="shared" si="11"/>
        <v>3.9041464382335682E-2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7.5638267351884489E-2</v>
      </c>
      <c r="D100" s="366">
        <f>IF(LN_IC14=0,0,LN_IC15/LN_IC14)</f>
        <v>7.3247365747015833E-2</v>
      </c>
      <c r="E100" s="367">
        <f t="shared" si="10"/>
        <v>-2.390901604868656E-3</v>
      </c>
      <c r="F100" s="362">
        <f t="shared" si="11"/>
        <v>-3.1609682354907721E-2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3.1941071813750681</v>
      </c>
      <c r="D101" s="366">
        <f>IF(LN_IC1=0,0,LN_IC14/LN_IC1)</f>
        <v>3.357703188642478</v>
      </c>
      <c r="E101" s="367">
        <f t="shared" si="10"/>
        <v>0.16359600726740986</v>
      </c>
      <c r="F101" s="362">
        <f t="shared" si="11"/>
        <v>5.1218070646264761E-2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993.36733340764613</v>
      </c>
      <c r="D102" s="376">
        <f>LN_IC17*LN_IC4</f>
        <v>879.71823542432924</v>
      </c>
      <c r="E102" s="376">
        <f t="shared" si="10"/>
        <v>-113.64909798331689</v>
      </c>
      <c r="F102" s="362">
        <f t="shared" si="11"/>
        <v>-0.11440792762276082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2352.039292438863</v>
      </c>
      <c r="D103" s="378">
        <f>IF(LN_IC18=0,0,LN_IC15/LN_IC18)</f>
        <v>2759.5847195653819</v>
      </c>
      <c r="E103" s="378">
        <f t="shared" si="10"/>
        <v>407.54542712651892</v>
      </c>
      <c r="F103" s="362">
        <f t="shared" si="11"/>
        <v>0.17327322227849742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7389.4327099534858</v>
      </c>
      <c r="D104" s="378">
        <f>LN_IB18-LN_IC19</f>
        <v>9497.2359380162816</v>
      </c>
      <c r="E104" s="378">
        <f t="shared" si="10"/>
        <v>2107.8032280627958</v>
      </c>
      <c r="F104" s="362">
        <f t="shared" si="11"/>
        <v>0.28524560826213463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6844.6518249287928</v>
      </c>
      <c r="D105" s="378">
        <f>LN_IA16-LN_IC19</f>
        <v>6982.5154038375586</v>
      </c>
      <c r="E105" s="378">
        <f t="shared" si="10"/>
        <v>137.8635789087657</v>
      </c>
      <c r="F105" s="362">
        <f t="shared" si="11"/>
        <v>2.0141795731180225E-2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6799253.5314332936</v>
      </c>
      <c r="D106" s="361">
        <f>LN_IC21*LN_IC18</f>
        <v>6142646.1298871748</v>
      </c>
      <c r="E106" s="361">
        <f t="shared" si="10"/>
        <v>-656607.40154611878</v>
      </c>
      <c r="F106" s="362">
        <f t="shared" si="11"/>
        <v>-9.6570512999785862E-2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40560464</v>
      </c>
      <c r="D109" s="361">
        <f>LN_IC1+LN_IC14</f>
        <v>43014082</v>
      </c>
      <c r="E109" s="361">
        <f>D109-C109</f>
        <v>2453618</v>
      </c>
      <c r="F109" s="362">
        <f>IF(C109=0,0,E109/C109)</f>
        <v>6.0492848405284516E-2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3288819</v>
      </c>
      <c r="D110" s="361">
        <f>LN_IC2+LN_IC15</f>
        <v>5198394</v>
      </c>
      <c r="E110" s="361">
        <f>D110-C110</f>
        <v>1909575</v>
      </c>
      <c r="F110" s="362">
        <f>IF(C110=0,0,E110/C110)</f>
        <v>0.58062635858039013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37271645</v>
      </c>
      <c r="D111" s="361">
        <f>LN_IC23-LN_IC24</f>
        <v>37815688</v>
      </c>
      <c r="E111" s="361">
        <f>D111-C111</f>
        <v>544043</v>
      </c>
      <c r="F111" s="362">
        <f>IF(C111=0,0,E111/C111)</f>
        <v>1.4596699448065681E-2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9325488.1731058471</v>
      </c>
      <c r="D113" s="361">
        <f>LN_IC10+LN_IC22</f>
        <v>6513162.0501865735</v>
      </c>
      <c r="E113" s="361">
        <f>D113-C113</f>
        <v>-2812326.1229192736</v>
      </c>
      <c r="F113" s="362">
        <f>IF(C113=0,0,E113/C113)</f>
        <v>-0.3015741450436723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151940447</v>
      </c>
      <c r="D118" s="361">
        <v>177982732</v>
      </c>
      <c r="E118" s="361">
        <f t="shared" ref="E118:E130" si="12">D118-C118</f>
        <v>26042285</v>
      </c>
      <c r="F118" s="362">
        <f t="shared" ref="F118:F130" si="13">IF(C118=0,0,E118/C118)</f>
        <v>0.17139797541861912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36750880</v>
      </c>
      <c r="D119" s="361">
        <v>45929919</v>
      </c>
      <c r="E119" s="361">
        <f t="shared" si="12"/>
        <v>9179039</v>
      </c>
      <c r="F119" s="362">
        <f t="shared" si="13"/>
        <v>0.24976378796915882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0.24187687166669977</v>
      </c>
      <c r="D120" s="366">
        <f>IF(LN_ID1=0,0,LN_1D2/LN_ID1)</f>
        <v>0.25805828736239422</v>
      </c>
      <c r="E120" s="367">
        <f t="shared" si="12"/>
        <v>1.6181415695694451E-2</v>
      </c>
      <c r="F120" s="362">
        <f t="shared" si="13"/>
        <v>6.6899392175007261E-2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5266</v>
      </c>
      <c r="D121" s="369">
        <v>6004</v>
      </c>
      <c r="E121" s="369">
        <f t="shared" si="12"/>
        <v>738</v>
      </c>
      <c r="F121" s="362">
        <f t="shared" si="13"/>
        <v>0.14014432206608432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1.0019100000000001</v>
      </c>
      <c r="D122" s="372">
        <v>0.99748999999999999</v>
      </c>
      <c r="E122" s="373">
        <f t="shared" si="12"/>
        <v>-4.4200000000000905E-3</v>
      </c>
      <c r="F122" s="362">
        <f t="shared" si="13"/>
        <v>-4.4115738938628121E-3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5276.0580600000003</v>
      </c>
      <c r="D123" s="376">
        <f>LN_ID4*LN_ID5</f>
        <v>5988.9299599999995</v>
      </c>
      <c r="E123" s="376">
        <f t="shared" si="12"/>
        <v>712.87189999999919</v>
      </c>
      <c r="F123" s="362">
        <f t="shared" si="13"/>
        <v>0.1351144911396216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6965.5943096274414</v>
      </c>
      <c r="D124" s="378">
        <f>IF(LN_ID6=0,0,LN_1D2/LN_ID6)</f>
        <v>7669.1361072454429</v>
      </c>
      <c r="E124" s="378">
        <f t="shared" si="12"/>
        <v>703.54179761800151</v>
      </c>
      <c r="F124" s="362">
        <f t="shared" si="13"/>
        <v>0.10100240788436483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4401.2090684832774</v>
      </c>
      <c r="D125" s="378">
        <f>LN_IB7-LN_ID7</f>
        <v>5171.5994889802996</v>
      </c>
      <c r="E125" s="378">
        <f t="shared" si="12"/>
        <v>770.39042049702221</v>
      </c>
      <c r="F125" s="362">
        <f t="shared" si="13"/>
        <v>0.17504063281468024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2490.5971622822735</v>
      </c>
      <c r="D126" s="378">
        <f>LN_IA7-LN_ID7</f>
        <v>2767.7827992056909</v>
      </c>
      <c r="E126" s="378">
        <f t="shared" si="12"/>
        <v>277.18563692341741</v>
      </c>
      <c r="F126" s="362">
        <f t="shared" si="13"/>
        <v>0.11129284218304364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13140535.232272519</v>
      </c>
      <c r="D127" s="391">
        <f>LN_ID9*LN_ID6</f>
        <v>16576057.328935625</v>
      </c>
      <c r="E127" s="391">
        <f t="shared" si="12"/>
        <v>3435522.0966631062</v>
      </c>
      <c r="F127" s="362">
        <f t="shared" si="13"/>
        <v>0.2614446090617093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25153</v>
      </c>
      <c r="D128" s="369">
        <v>27110</v>
      </c>
      <c r="E128" s="369">
        <f t="shared" si="12"/>
        <v>1957</v>
      </c>
      <c r="F128" s="362">
        <f t="shared" si="13"/>
        <v>7.7803840496163484E-2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1461.0933089492307</v>
      </c>
      <c r="D129" s="378">
        <f>IF(LN_ID11=0,0,LN_1D2/LN_ID11)</f>
        <v>1694.2057912209516</v>
      </c>
      <c r="E129" s="378">
        <f t="shared" si="12"/>
        <v>233.11248227172086</v>
      </c>
      <c r="F129" s="362">
        <f t="shared" si="13"/>
        <v>0.15954660858680378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4.7764906950246866</v>
      </c>
      <c r="D130" s="379">
        <f>IF(LN_ID4=0,0,LN_ID11/LN_ID4)</f>
        <v>4.515323117921386</v>
      </c>
      <c r="E130" s="379">
        <f t="shared" si="12"/>
        <v>-0.26116757710330063</v>
      </c>
      <c r="F130" s="362">
        <f t="shared" si="13"/>
        <v>-5.4677710850633367E-2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129447743</v>
      </c>
      <c r="D133" s="361">
        <v>158446128</v>
      </c>
      <c r="E133" s="361">
        <f t="shared" ref="E133:E141" si="14">D133-C133</f>
        <v>28998385</v>
      </c>
      <c r="F133" s="362">
        <f t="shared" ref="F133:F141" si="15">IF(C133=0,0,E133/C133)</f>
        <v>0.22401614989919136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22613318</v>
      </c>
      <c r="D134" s="361">
        <v>27051433</v>
      </c>
      <c r="E134" s="361">
        <f t="shared" si="14"/>
        <v>4438115</v>
      </c>
      <c r="F134" s="362">
        <f t="shared" si="15"/>
        <v>0.19626111479969457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0.17469070897589925</v>
      </c>
      <c r="D135" s="366">
        <f>IF(LN_ID14=0,0,LN_ID15/LN_ID14)</f>
        <v>0.17072953022872228</v>
      </c>
      <c r="E135" s="367">
        <f t="shared" si="14"/>
        <v>-3.9611787471769688E-3</v>
      </c>
      <c r="F135" s="362">
        <f t="shared" si="15"/>
        <v>-2.2675383083615868E-2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0.85196368416633661</v>
      </c>
      <c r="D136" s="366">
        <f>IF(LN_ID1=0,0,LN_ID14/LN_ID1)</f>
        <v>0.89023314913493967</v>
      </c>
      <c r="E136" s="367">
        <f t="shared" si="14"/>
        <v>3.8269464968603062E-2</v>
      </c>
      <c r="F136" s="362">
        <f t="shared" si="15"/>
        <v>4.4919127047123489E-2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4486.440760819929</v>
      </c>
      <c r="D137" s="376">
        <f>LN_ID17*LN_ID4</f>
        <v>5344.9598274061782</v>
      </c>
      <c r="E137" s="376">
        <f t="shared" si="14"/>
        <v>858.51906658624921</v>
      </c>
      <c r="F137" s="362">
        <f t="shared" si="15"/>
        <v>0.19135860972102722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5040.3692382349109</v>
      </c>
      <c r="D138" s="378">
        <f>IF(LN_ID18=0,0,LN_ID15/LN_ID18)</f>
        <v>5061.1106301106884</v>
      </c>
      <c r="E138" s="378">
        <f t="shared" si="14"/>
        <v>20.741391875777481</v>
      </c>
      <c r="F138" s="362">
        <f t="shared" si="15"/>
        <v>4.1150540556510731E-3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4701.1027641574383</v>
      </c>
      <c r="D139" s="378">
        <f>LN_IB18-LN_ID19</f>
        <v>7195.7100274709755</v>
      </c>
      <c r="E139" s="378">
        <f t="shared" si="14"/>
        <v>2494.6072633135373</v>
      </c>
      <c r="F139" s="362">
        <f t="shared" si="15"/>
        <v>0.53064299770963141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4156.3218791327454</v>
      </c>
      <c r="D140" s="378">
        <f>LN_IA16-LN_ID19</f>
        <v>4680.9894932922525</v>
      </c>
      <c r="E140" s="378">
        <f t="shared" si="14"/>
        <v>524.66761415950714</v>
      </c>
      <c r="F140" s="362">
        <f t="shared" si="15"/>
        <v>0.12623363382746089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18647091.893628832</v>
      </c>
      <c r="D141" s="353">
        <f>LN_ID21*LN_ID18</f>
        <v>25019700.79415749</v>
      </c>
      <c r="E141" s="353">
        <f t="shared" si="14"/>
        <v>6372608.9005286582</v>
      </c>
      <c r="F141" s="362">
        <f t="shared" si="15"/>
        <v>0.34174813621774414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281388190</v>
      </c>
      <c r="D144" s="361">
        <f>LN_ID1+LN_ID14</f>
        <v>336428860</v>
      </c>
      <c r="E144" s="361">
        <f>D144-C144</f>
        <v>55040670</v>
      </c>
      <c r="F144" s="362">
        <f>IF(C144=0,0,E144/C144)</f>
        <v>0.19560405147067472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59364198</v>
      </c>
      <c r="D145" s="361">
        <f>LN_1D2+LN_ID15</f>
        <v>72981352</v>
      </c>
      <c r="E145" s="361">
        <f>D145-C145</f>
        <v>13617154</v>
      </c>
      <c r="F145" s="362">
        <f>IF(C145=0,0,E145/C145)</f>
        <v>0.22938327238919323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222023992</v>
      </c>
      <c r="D146" s="361">
        <f>LN_ID23-LN_ID24</f>
        <v>263447508</v>
      </c>
      <c r="E146" s="361">
        <f>D146-C146</f>
        <v>41423516</v>
      </c>
      <c r="F146" s="362">
        <f>IF(C146=0,0,E146/C146)</f>
        <v>0.18657225116463991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31787627.125901349</v>
      </c>
      <c r="D148" s="361">
        <f>LN_ID10+LN_ID22</f>
        <v>41595758.123093113</v>
      </c>
      <c r="E148" s="361">
        <f>D148-C148</f>
        <v>9808130.9971917644</v>
      </c>
      <c r="F148" s="415">
        <f>IF(C148=0,0,E148/C148)</f>
        <v>0.30855184497869786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15148822</v>
      </c>
      <c r="D153" s="361">
        <v>0</v>
      </c>
      <c r="E153" s="361">
        <f t="shared" ref="E153:E165" si="16">D153-C153</f>
        <v>-15148822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1559167</v>
      </c>
      <c r="D154" s="361">
        <v>0</v>
      </c>
      <c r="E154" s="361">
        <f t="shared" si="16"/>
        <v>-1559167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0.1029233164136459</v>
      </c>
      <c r="D155" s="366">
        <f>IF(LN_IE1=0,0,LN_IE2/LN_IE1)</f>
        <v>0</v>
      </c>
      <c r="E155" s="367">
        <f t="shared" si="16"/>
        <v>-0.1029233164136459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406</v>
      </c>
      <c r="D156" s="419">
        <v>0</v>
      </c>
      <c r="E156" s="419">
        <f t="shared" si="16"/>
        <v>-406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1.2374700000000001</v>
      </c>
      <c r="D157" s="372">
        <v>0</v>
      </c>
      <c r="E157" s="373">
        <f t="shared" si="16"/>
        <v>-1.2374700000000001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502.41282000000001</v>
      </c>
      <c r="D158" s="376">
        <f>LN_IE4*LN_IE5</f>
        <v>0</v>
      </c>
      <c r="E158" s="376">
        <f t="shared" si="16"/>
        <v>-502.41282000000001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3103.3583100049077</v>
      </c>
      <c r="D159" s="378">
        <f>IF(LN_IE6=0,0,LN_IE2/LN_IE6)</f>
        <v>0</v>
      </c>
      <c r="E159" s="378">
        <f t="shared" si="16"/>
        <v>-3103.3583100049077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8263.4450681058115</v>
      </c>
      <c r="D160" s="378">
        <f>LN_IB7-LN_IE7</f>
        <v>12840.735596225742</v>
      </c>
      <c r="E160" s="378">
        <f t="shared" si="16"/>
        <v>4577.290528119931</v>
      </c>
      <c r="F160" s="362">
        <f t="shared" si="17"/>
        <v>0.55392036740061013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6352.8331619048076</v>
      </c>
      <c r="D161" s="378">
        <f>LN_IA7-LN_IE7</f>
        <v>10436.918906451134</v>
      </c>
      <c r="E161" s="378">
        <f t="shared" si="16"/>
        <v>4084.0857445463262</v>
      </c>
      <c r="F161" s="362">
        <f t="shared" si="17"/>
        <v>0.64287627904929434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3191744.8238621112</v>
      </c>
      <c r="D162" s="391">
        <f>LN_IE9*LN_IE6</f>
        <v>0</v>
      </c>
      <c r="E162" s="391">
        <f t="shared" si="16"/>
        <v>-3191744.8238621112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2248</v>
      </c>
      <c r="D163" s="369">
        <v>0</v>
      </c>
      <c r="E163" s="419">
        <f t="shared" si="16"/>
        <v>-2248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693.57962633451962</v>
      </c>
      <c r="D164" s="378">
        <f>IF(LN_IE11=0,0,LN_IE2/LN_IE11)</f>
        <v>0</v>
      </c>
      <c r="E164" s="378">
        <f t="shared" si="16"/>
        <v>-693.57962633451962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5.5369458128078817</v>
      </c>
      <c r="D165" s="379">
        <f>IF(LN_IE4=0,0,LN_IE11/LN_IE4)</f>
        <v>0</v>
      </c>
      <c r="E165" s="379">
        <f t="shared" si="16"/>
        <v>-5.5369458128078817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14853469</v>
      </c>
      <c r="D168" s="424">
        <v>0</v>
      </c>
      <c r="E168" s="424">
        <f t="shared" ref="E168:E176" si="18">D168-C168</f>
        <v>-14853469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1456241</v>
      </c>
      <c r="D169" s="424">
        <v>0</v>
      </c>
      <c r="E169" s="424">
        <f t="shared" si="18"/>
        <v>-1456241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9.8040464486780832E-2</v>
      </c>
      <c r="D170" s="366">
        <f>IF(LN_IE14=0,0,LN_IE15/LN_IE14)</f>
        <v>0</v>
      </c>
      <c r="E170" s="367">
        <f t="shared" si="18"/>
        <v>-9.8040464486780832E-2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0.98050323648927951</v>
      </c>
      <c r="D171" s="366">
        <f>IF(LN_IE1=0,0,LN_IE14/LN_IE1)</f>
        <v>0</v>
      </c>
      <c r="E171" s="367">
        <f t="shared" si="18"/>
        <v>-0.98050323648927951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398.08431401464748</v>
      </c>
      <c r="D172" s="376">
        <f>LN_IE17*LN_IE4</f>
        <v>0</v>
      </c>
      <c r="E172" s="376">
        <f t="shared" si="18"/>
        <v>-398.08431401464748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3658.1220327772517</v>
      </c>
      <c r="D173" s="378">
        <f>IF(LN_IE18=0,0,LN_IE15/LN_IE18)</f>
        <v>0</v>
      </c>
      <c r="E173" s="378">
        <f t="shared" si="18"/>
        <v>-3658.1220327772517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6083.3499696150975</v>
      </c>
      <c r="D174" s="378">
        <f>LN_IB18-LN_IE19</f>
        <v>12256.820657581664</v>
      </c>
      <c r="E174" s="378">
        <f t="shared" si="18"/>
        <v>6173.4706879665664</v>
      </c>
      <c r="F174" s="362">
        <f t="shared" si="19"/>
        <v>1.0148143241473202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5538.5690845904046</v>
      </c>
      <c r="D175" s="378">
        <f>LN_IA16-LN_IE19</f>
        <v>9742.1001234029409</v>
      </c>
      <c r="E175" s="378">
        <f t="shared" si="18"/>
        <v>4203.5310388125363</v>
      </c>
      <c r="F175" s="362">
        <f t="shared" si="19"/>
        <v>0.75895614455866289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2204817.4746619053</v>
      </c>
      <c r="D176" s="353">
        <f>LN_IE21*LN_IE18</f>
        <v>0</v>
      </c>
      <c r="E176" s="353">
        <f t="shared" si="18"/>
        <v>-2204817.4746619053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30002291</v>
      </c>
      <c r="D179" s="361">
        <f>LN_IE1+LN_IE14</f>
        <v>0</v>
      </c>
      <c r="E179" s="361">
        <f>D179-C179</f>
        <v>-30002291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3015408</v>
      </c>
      <c r="D180" s="361">
        <f>LN_IE15+LN_IE2</f>
        <v>0</v>
      </c>
      <c r="E180" s="361">
        <f>D180-C180</f>
        <v>-3015408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26986883</v>
      </c>
      <c r="D181" s="361">
        <f>LN_IE23-LN_IE24</f>
        <v>0</v>
      </c>
      <c r="E181" s="361">
        <f>D181-C181</f>
        <v>-26986883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5396562.2985240165</v>
      </c>
      <c r="D183" s="361">
        <f>LN_IE10+LN_IE22</f>
        <v>0</v>
      </c>
      <c r="E183" s="353">
        <f>D183-C183</f>
        <v>-5396562.2985240165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167089269</v>
      </c>
      <c r="D188" s="361">
        <f>LN_ID1+LN_IE1</f>
        <v>177982732</v>
      </c>
      <c r="E188" s="361">
        <f t="shared" ref="E188:E200" si="20">D188-C188</f>
        <v>10893463</v>
      </c>
      <c r="F188" s="362">
        <f t="shared" ref="F188:F200" si="21">IF(C188=0,0,E188/C188)</f>
        <v>6.5195467459971956E-2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38310047</v>
      </c>
      <c r="D189" s="361">
        <f>LN_1D2+LN_IE2</f>
        <v>45929919</v>
      </c>
      <c r="E189" s="361">
        <f t="shared" si="20"/>
        <v>7619872</v>
      </c>
      <c r="F189" s="362">
        <f t="shared" si="21"/>
        <v>0.19890009531964292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0.22927891916266627</v>
      </c>
      <c r="D190" s="366">
        <f>IF(LN_IF1=0,0,LN_IF2/LN_IF1)</f>
        <v>0.25805828736239422</v>
      </c>
      <c r="E190" s="367">
        <f t="shared" si="20"/>
        <v>2.8779368199727956E-2</v>
      </c>
      <c r="F190" s="362">
        <f t="shared" si="21"/>
        <v>0.12552121365902763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5672</v>
      </c>
      <c r="D191" s="369">
        <f>LN_ID4+LN_IE4</f>
        <v>6004</v>
      </c>
      <c r="E191" s="369">
        <f t="shared" si="20"/>
        <v>332</v>
      </c>
      <c r="F191" s="362">
        <f t="shared" si="21"/>
        <v>5.853314527503526E-2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1.0187713117066293</v>
      </c>
      <c r="D192" s="372">
        <f>IF((LN_ID4+LN_IE4)=0,0,(LN_ID6+LN_IE6)/(LN_ID4+LN_IE4))</f>
        <v>0.99748999999999988</v>
      </c>
      <c r="E192" s="373">
        <f t="shared" si="20"/>
        <v>-2.1281311706629391E-2</v>
      </c>
      <c r="F192" s="362">
        <f t="shared" si="21"/>
        <v>-2.0889194132272217E-2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5778.4708800000008</v>
      </c>
      <c r="D193" s="376">
        <f>LN_IF4*LN_IF5</f>
        <v>5988.9299599999995</v>
      </c>
      <c r="E193" s="376">
        <f t="shared" si="20"/>
        <v>210.45907999999872</v>
      </c>
      <c r="F193" s="362">
        <f t="shared" si="21"/>
        <v>3.6421240907940459E-2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6629.7897481141226</v>
      </c>
      <c r="D194" s="378">
        <f>IF(LN_IF6=0,0,LN_IF2/LN_IF6)</f>
        <v>7669.1361072454429</v>
      </c>
      <c r="E194" s="378">
        <f t="shared" si="20"/>
        <v>1039.3463591313202</v>
      </c>
      <c r="F194" s="362">
        <f t="shared" si="21"/>
        <v>0.15676912822566774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4737.0136299965961</v>
      </c>
      <c r="D195" s="378">
        <f>LN_IB7-LN_IF7</f>
        <v>5171.5994889802996</v>
      </c>
      <c r="E195" s="378">
        <f t="shared" si="20"/>
        <v>434.58585898370347</v>
      </c>
      <c r="F195" s="362">
        <f t="shared" si="21"/>
        <v>9.1742581493061012E-2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2826.4017237955923</v>
      </c>
      <c r="D196" s="378">
        <f>LN_IA7-LN_IF7</f>
        <v>2767.7827992056909</v>
      </c>
      <c r="E196" s="378">
        <f t="shared" si="20"/>
        <v>-58.618924589901326</v>
      </c>
      <c r="F196" s="362">
        <f t="shared" si="21"/>
        <v>-2.0739771029852618E-2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16332280.05613463</v>
      </c>
      <c r="D197" s="391">
        <f>LN_IF9*LN_IF6</f>
        <v>16576057.328935625</v>
      </c>
      <c r="E197" s="391">
        <f t="shared" si="20"/>
        <v>243777.27280099504</v>
      </c>
      <c r="F197" s="362">
        <f t="shared" si="21"/>
        <v>1.492610168103436E-2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27401</v>
      </c>
      <c r="D198" s="369">
        <f>LN_ID11+LN_IE11</f>
        <v>27110</v>
      </c>
      <c r="E198" s="369">
        <f t="shared" si="20"/>
        <v>-291</v>
      </c>
      <c r="F198" s="362">
        <f t="shared" si="21"/>
        <v>-1.0620050363125433E-2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1398.125871318565</v>
      </c>
      <c r="D199" s="432">
        <f>IF(LN_IF11=0,0,LN_IF2/LN_IF11)</f>
        <v>1694.2057912209516</v>
      </c>
      <c r="E199" s="432">
        <f t="shared" si="20"/>
        <v>296.07991990238656</v>
      </c>
      <c r="F199" s="362">
        <f t="shared" si="21"/>
        <v>0.21176914466446084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4.8309238363892808</v>
      </c>
      <c r="D200" s="379">
        <f>IF(LN_IF4=0,0,LN_IF11/LN_IF4)</f>
        <v>4.515323117921386</v>
      </c>
      <c r="E200" s="379">
        <f t="shared" si="20"/>
        <v>-0.31560071846789484</v>
      </c>
      <c r="F200" s="362">
        <f t="shared" si="21"/>
        <v>-6.5329268097875967E-2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144301212</v>
      </c>
      <c r="D203" s="361">
        <f>LN_ID14+LN_IE14</f>
        <v>158446128</v>
      </c>
      <c r="E203" s="361">
        <f t="shared" ref="E203:E211" si="22">D203-C203</f>
        <v>14144916</v>
      </c>
      <c r="F203" s="362">
        <f t="shared" ref="F203:F211" si="23">IF(C203=0,0,E203/C203)</f>
        <v>9.8023542588124624E-2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24069559</v>
      </c>
      <c r="D204" s="361">
        <f>LN_ID15+LN_IE15</f>
        <v>27051433</v>
      </c>
      <c r="E204" s="361">
        <f t="shared" si="22"/>
        <v>2981874</v>
      </c>
      <c r="F204" s="362">
        <f t="shared" si="23"/>
        <v>0.12388569312798793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0.166800809684121</v>
      </c>
      <c r="D205" s="366">
        <f>IF(LN_IF14=0,0,LN_IF15/LN_IF14)</f>
        <v>0.17072953022872228</v>
      </c>
      <c r="E205" s="367">
        <f t="shared" si="22"/>
        <v>3.9287205446012774E-3</v>
      </c>
      <c r="F205" s="362">
        <f t="shared" si="23"/>
        <v>2.3553366149968284E-2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0.8636174714487499</v>
      </c>
      <c r="D206" s="366">
        <f>IF(LN_IF1=0,0,LN_IF14/LN_IF1)</f>
        <v>0.89023314913493967</v>
      </c>
      <c r="E206" s="367">
        <f t="shared" si="22"/>
        <v>2.6615677686189776E-2</v>
      </c>
      <c r="F206" s="362">
        <f t="shared" si="23"/>
        <v>3.0818827277244637E-2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4884.5250748345761</v>
      </c>
      <c r="D207" s="376">
        <f>LN_ID18+LN_IE18</f>
        <v>5344.9598274061782</v>
      </c>
      <c r="E207" s="376">
        <f t="shared" si="22"/>
        <v>460.43475257160208</v>
      </c>
      <c r="F207" s="362">
        <f t="shared" si="23"/>
        <v>9.4263975620433399E-2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4927.7173586451827</v>
      </c>
      <c r="D208" s="378">
        <f>IF(LN_IF18=0,0,LN_IF15/LN_IF18)</f>
        <v>5061.1106301106884</v>
      </c>
      <c r="E208" s="378">
        <f t="shared" si="22"/>
        <v>133.39327146550568</v>
      </c>
      <c r="F208" s="362">
        <f t="shared" si="23"/>
        <v>2.7069992403578231E-2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4813.7546437471665</v>
      </c>
      <c r="D209" s="378">
        <f>LN_IB18-LN_IF19</f>
        <v>7195.7100274709755</v>
      </c>
      <c r="E209" s="378">
        <f t="shared" si="22"/>
        <v>2381.9553837238091</v>
      </c>
      <c r="F209" s="362">
        <f t="shared" si="23"/>
        <v>0.49482276518140644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4268.9737587224736</v>
      </c>
      <c r="D210" s="378">
        <f>LN_IA16-LN_IF19</f>
        <v>4680.9894932922525</v>
      </c>
      <c r="E210" s="378">
        <f t="shared" si="22"/>
        <v>412.01573456977894</v>
      </c>
      <c r="F210" s="362">
        <f t="shared" si="23"/>
        <v>9.6514000285885596E-2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20851909.368290737</v>
      </c>
      <c r="D211" s="353">
        <f>LN_IF21*LN_IF18</f>
        <v>25019700.79415749</v>
      </c>
      <c r="E211" s="353">
        <f t="shared" si="22"/>
        <v>4167791.4258667529</v>
      </c>
      <c r="F211" s="362">
        <f t="shared" si="23"/>
        <v>0.19987576927629785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311390481</v>
      </c>
      <c r="D214" s="361">
        <f>LN_IF1+LN_IF14</f>
        <v>336428860</v>
      </c>
      <c r="E214" s="361">
        <f>D214-C214</f>
        <v>25038379</v>
      </c>
      <c r="F214" s="362">
        <f>IF(C214=0,0,E214/C214)</f>
        <v>8.0408299314711551E-2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62379606</v>
      </c>
      <c r="D215" s="361">
        <f>LN_IF2+LN_IF15</f>
        <v>72981352</v>
      </c>
      <c r="E215" s="361">
        <f>D215-C215</f>
        <v>10601746</v>
      </c>
      <c r="F215" s="362">
        <f>IF(C215=0,0,E215/C215)</f>
        <v>0.16995532161584989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249010875</v>
      </c>
      <c r="D216" s="361">
        <f>LN_IF23-LN_IF24</f>
        <v>263447508</v>
      </c>
      <c r="E216" s="361">
        <f>D216-C216</f>
        <v>14436633</v>
      </c>
      <c r="F216" s="362">
        <f>IF(C216=0,0,E216/C216)</f>
        <v>5.7975913702564198E-2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780040</v>
      </c>
      <c r="D221" s="361">
        <v>822407</v>
      </c>
      <c r="E221" s="361">
        <f t="shared" ref="E221:E230" si="24">D221-C221</f>
        <v>42367</v>
      </c>
      <c r="F221" s="362">
        <f t="shared" ref="F221:F230" si="25">IF(C221=0,0,E221/C221)</f>
        <v>5.4313881339418495E-2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83456</v>
      </c>
      <c r="D222" s="361">
        <v>162598</v>
      </c>
      <c r="E222" s="361">
        <f t="shared" si="24"/>
        <v>79142</v>
      </c>
      <c r="F222" s="362">
        <f t="shared" si="25"/>
        <v>0.94830809049079756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0.1069893851597354</v>
      </c>
      <c r="D223" s="366">
        <f>IF(LN_IG1=0,0,LN_IG2/LN_IG1)</f>
        <v>0.19770989303349801</v>
      </c>
      <c r="E223" s="367">
        <f t="shared" si="24"/>
        <v>9.072050787376261E-2</v>
      </c>
      <c r="F223" s="362">
        <f t="shared" si="25"/>
        <v>0.84793933284425071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28</v>
      </c>
      <c r="D224" s="369">
        <v>33</v>
      </c>
      <c r="E224" s="369">
        <f t="shared" si="24"/>
        <v>5</v>
      </c>
      <c r="F224" s="362">
        <f t="shared" si="25"/>
        <v>0.17857142857142858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1.0464</v>
      </c>
      <c r="D225" s="372">
        <v>0.87963000000000002</v>
      </c>
      <c r="E225" s="373">
        <f t="shared" si="24"/>
        <v>-0.16676999999999997</v>
      </c>
      <c r="F225" s="362">
        <f t="shared" si="25"/>
        <v>-0.15937499999999999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29.299199999999999</v>
      </c>
      <c r="D226" s="376">
        <f>LN_IG3*LN_IG4</f>
        <v>29.02779</v>
      </c>
      <c r="E226" s="376">
        <f t="shared" si="24"/>
        <v>-0.27140999999999948</v>
      </c>
      <c r="F226" s="362">
        <f t="shared" si="25"/>
        <v>-9.2633928571428398E-3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2848.4054172127567</v>
      </c>
      <c r="D227" s="378">
        <f>IF(LN_IG5=0,0,LN_IG2/LN_IG5)</f>
        <v>5601.4598424475307</v>
      </c>
      <c r="E227" s="378">
        <f t="shared" si="24"/>
        <v>2753.054425234774</v>
      </c>
      <c r="F227" s="362">
        <f t="shared" si="25"/>
        <v>0.96652478211079718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116</v>
      </c>
      <c r="D228" s="369">
        <v>126</v>
      </c>
      <c r="E228" s="369">
        <f t="shared" si="24"/>
        <v>10</v>
      </c>
      <c r="F228" s="362">
        <f t="shared" si="25"/>
        <v>8.6206896551724144E-2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719.44827586206895</v>
      </c>
      <c r="D229" s="378">
        <f>IF(LN_IG6=0,0,LN_IG2/LN_IG6)</f>
        <v>1290.4603174603174</v>
      </c>
      <c r="E229" s="378">
        <f t="shared" si="24"/>
        <v>571.0120415982484</v>
      </c>
      <c r="F229" s="362">
        <f t="shared" si="25"/>
        <v>0.79368046426136907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4.1428571428571432</v>
      </c>
      <c r="D230" s="379">
        <f>IF(LN_IG3=0,0,LN_IG6/LN_IG3)</f>
        <v>3.8181818181818183</v>
      </c>
      <c r="E230" s="379">
        <f t="shared" si="24"/>
        <v>-0.32467532467532489</v>
      </c>
      <c r="F230" s="362">
        <f t="shared" si="25"/>
        <v>-7.8369905956112901E-2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680630</v>
      </c>
      <c r="D233" s="361">
        <v>1057263</v>
      </c>
      <c r="E233" s="361">
        <f>D233-C233</f>
        <v>376633</v>
      </c>
      <c r="F233" s="362">
        <f>IF(C233=0,0,E233/C233)</f>
        <v>0.55335938762616987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169111</v>
      </c>
      <c r="D234" s="361">
        <v>208130</v>
      </c>
      <c r="E234" s="361">
        <f>D234-C234</f>
        <v>39019</v>
      </c>
      <c r="F234" s="362">
        <f>IF(C234=0,0,E234/C234)</f>
        <v>0.23073011217484374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1460670</v>
      </c>
      <c r="D237" s="361">
        <f>LN_IG1+LN_IG9</f>
        <v>1879670</v>
      </c>
      <c r="E237" s="361">
        <f>D237-C237</f>
        <v>419000</v>
      </c>
      <c r="F237" s="362">
        <f>IF(C237=0,0,E237/C237)</f>
        <v>0.28685466258634734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252567</v>
      </c>
      <c r="D238" s="361">
        <f>LN_IG2+LN_IG10</f>
        <v>370728</v>
      </c>
      <c r="E238" s="361">
        <f>D238-C238</f>
        <v>118161</v>
      </c>
      <c r="F238" s="362">
        <f>IF(C238=0,0,E238/C238)</f>
        <v>0.46784021665538256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1208103</v>
      </c>
      <c r="D239" s="361">
        <f>LN_IG13-LN_IG14</f>
        <v>1508942</v>
      </c>
      <c r="E239" s="361">
        <f>D239-C239</f>
        <v>300839</v>
      </c>
      <c r="F239" s="362">
        <f>IF(C239=0,0,E239/C239)</f>
        <v>0.24901767481746176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5828673</v>
      </c>
      <c r="D243" s="361">
        <v>5964831</v>
      </c>
      <c r="E243" s="353">
        <f>D243-C243</f>
        <v>136158</v>
      </c>
      <c r="F243" s="415">
        <f>IF(C243=0,0,E243/C243)</f>
        <v>2.3360034093523517E-2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350215000</v>
      </c>
      <c r="D244" s="361">
        <v>383278000</v>
      </c>
      <c r="E244" s="353">
        <f>D244-C244</f>
        <v>33063000</v>
      </c>
      <c r="F244" s="415">
        <f>IF(C244=0,0,E244/C244)</f>
        <v>9.4407720971403278E-2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2988794</v>
      </c>
      <c r="D245" s="400">
        <v>0</v>
      </c>
      <c r="E245" s="400">
        <f>D245-C245</f>
        <v>-2988794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12024692</v>
      </c>
      <c r="D248" s="353">
        <v>13664086</v>
      </c>
      <c r="E248" s="353">
        <f>D248-C248</f>
        <v>1639394</v>
      </c>
      <c r="F248" s="362">
        <f>IF(C248=0,0,E248/C248)</f>
        <v>0.13633563337838508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25581567</v>
      </c>
      <c r="D249" s="353">
        <v>28215688</v>
      </c>
      <c r="E249" s="353">
        <f>D249-C249</f>
        <v>2634121</v>
      </c>
      <c r="F249" s="362">
        <f>IF(C249=0,0,E249/C249)</f>
        <v>0.10296949362015236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37606259</v>
      </c>
      <c r="D250" s="353">
        <f>LN_IH4+LN_IH5</f>
        <v>41879774</v>
      </c>
      <c r="E250" s="353">
        <f>D250-C250</f>
        <v>4273515</v>
      </c>
      <c r="F250" s="362">
        <f>IF(C250=0,0,E250/C250)</f>
        <v>0.11363839726785906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11080019.186591212</v>
      </c>
      <c r="D251" s="353">
        <f>LN_IH6*LN_III10</f>
        <v>11169804.565763125</v>
      </c>
      <c r="E251" s="353">
        <f>D251-C251</f>
        <v>89785.37917191349</v>
      </c>
      <c r="F251" s="362">
        <f>IF(C251=0,0,E251/C251)</f>
        <v>8.1033595393561891E-3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311390481</v>
      </c>
      <c r="D254" s="353">
        <f>LN_IF23</f>
        <v>336428860</v>
      </c>
      <c r="E254" s="353">
        <f>D254-C254</f>
        <v>25038379</v>
      </c>
      <c r="F254" s="362">
        <f>IF(C254=0,0,E254/C254)</f>
        <v>8.0408299314711551E-2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62379606</v>
      </c>
      <c r="D255" s="353">
        <f>LN_IF24</f>
        <v>72981352</v>
      </c>
      <c r="E255" s="353">
        <f>D255-C255</f>
        <v>10601746</v>
      </c>
      <c r="F255" s="362">
        <f>IF(C255=0,0,E255/C255)</f>
        <v>0.16995532161584989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91745698.608358413</v>
      </c>
      <c r="D256" s="353">
        <f>LN_IH8*LN_III10</f>
        <v>89729343.250096887</v>
      </c>
      <c r="E256" s="353">
        <f>D256-C256</f>
        <v>-2016355.3582615256</v>
      </c>
      <c r="F256" s="362">
        <f>IF(C256=0,0,E256/C256)</f>
        <v>-2.1977655506977931E-2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29366092.608358413</v>
      </c>
      <c r="D257" s="353">
        <f>LN_IH10-LN_IH9</f>
        <v>16747991.250096887</v>
      </c>
      <c r="E257" s="353">
        <f>D257-C257</f>
        <v>-12618101.358261526</v>
      </c>
      <c r="F257" s="362">
        <f>IF(C257=0,0,E257/C257)</f>
        <v>-0.42968267949512834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711617325</v>
      </c>
      <c r="D261" s="361">
        <f>LN_IA1+LN_IB1+LN_IF1+LN_IG1</f>
        <v>748047048</v>
      </c>
      <c r="E261" s="361">
        <f t="shared" ref="E261:E274" si="26">D261-C261</f>
        <v>36429723</v>
      </c>
      <c r="F261" s="415">
        <f t="shared" ref="F261:F274" si="27">IF(C261=0,0,E261/C261)</f>
        <v>5.1192855654547197E-2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233570834</v>
      </c>
      <c r="D262" s="361">
        <f>+LN_IA2+LN_IB2+LN_IF2+LN_IG2</f>
        <v>258549123</v>
      </c>
      <c r="E262" s="361">
        <f t="shared" si="26"/>
        <v>24978289</v>
      </c>
      <c r="F262" s="415">
        <f t="shared" si="27"/>
        <v>0.10694095907539551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0.32822533374942775</v>
      </c>
      <c r="D263" s="366">
        <f>IF(LN_IIA1=0,0,LN_IIA2/LN_IIA1)</f>
        <v>0.34563216804513075</v>
      </c>
      <c r="E263" s="367">
        <f t="shared" si="26"/>
        <v>1.7406834295703E-2</v>
      </c>
      <c r="F263" s="371">
        <f t="shared" si="27"/>
        <v>5.3033183322136995E-2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19044</v>
      </c>
      <c r="D264" s="369">
        <f>LN_IA4+LN_IB4+LN_IF4+LN_IG3</f>
        <v>19058</v>
      </c>
      <c r="E264" s="369">
        <f t="shared" si="26"/>
        <v>14</v>
      </c>
      <c r="F264" s="415">
        <f t="shared" si="27"/>
        <v>7.3513967653854231E-4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1.3083808926696074</v>
      </c>
      <c r="D265" s="439">
        <f>IF(LN_IIA4=0,0,LN_IIA6/LN_IIA4)</f>
        <v>1.2937612078916991</v>
      </c>
      <c r="E265" s="439">
        <f t="shared" si="26"/>
        <v>-1.4619684777908315E-2</v>
      </c>
      <c r="F265" s="415">
        <f t="shared" si="27"/>
        <v>-1.1173875176423934E-2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24916.805720000004</v>
      </c>
      <c r="D266" s="376">
        <f>LN_IA6+LN_IB6+LN_IF6+LN_IG5</f>
        <v>24656.501100000001</v>
      </c>
      <c r="E266" s="376">
        <f t="shared" si="26"/>
        <v>-260.30462000000261</v>
      </c>
      <c r="F266" s="415">
        <f t="shared" si="27"/>
        <v>-1.044694985886829E-2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473972371</v>
      </c>
      <c r="D267" s="361">
        <f>LN_IA11+LN_IB13+LN_IF14+LN_IG9</f>
        <v>552492553</v>
      </c>
      <c r="E267" s="361">
        <f t="shared" si="26"/>
        <v>78520182</v>
      </c>
      <c r="F267" s="415">
        <f t="shared" si="27"/>
        <v>0.16566404880169691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0.66604951052871009</v>
      </c>
      <c r="D268" s="366">
        <f>IF(LN_IIA1=0,0,LN_IIA7/LN_IIA1)</f>
        <v>0.73857995225990114</v>
      </c>
      <c r="E268" s="367">
        <f t="shared" si="26"/>
        <v>7.2530441731191053E-2</v>
      </c>
      <c r="F268" s="371">
        <f t="shared" si="27"/>
        <v>0.10889647178573315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112780174</v>
      </c>
      <c r="D269" s="361">
        <f>LN_IA12+LN_IB14+LN_IF15+LN_IG10</f>
        <v>141385862</v>
      </c>
      <c r="E269" s="361">
        <f t="shared" si="26"/>
        <v>28605688</v>
      </c>
      <c r="F269" s="415">
        <f t="shared" si="27"/>
        <v>0.25364110539499612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0.23794672622383722</v>
      </c>
      <c r="D270" s="366">
        <f>IF(LN_IIA7=0,0,LN_IIA9/LN_IIA7)</f>
        <v>0.25590546195108627</v>
      </c>
      <c r="E270" s="367">
        <f t="shared" si="26"/>
        <v>1.7958735727249042E-2</v>
      </c>
      <c r="F270" s="371">
        <f t="shared" si="27"/>
        <v>7.5473766805916054E-2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1185589696</v>
      </c>
      <c r="D271" s="353">
        <f>LN_IIA1+LN_IIA7</f>
        <v>1300539601</v>
      </c>
      <c r="E271" s="353">
        <f t="shared" si="26"/>
        <v>114949905</v>
      </c>
      <c r="F271" s="415">
        <f t="shared" si="27"/>
        <v>9.6955890716513116E-2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346351008</v>
      </c>
      <c r="D272" s="353">
        <f>LN_IIA2+LN_IIA9</f>
        <v>399934985</v>
      </c>
      <c r="E272" s="353">
        <f t="shared" si="26"/>
        <v>53583977</v>
      </c>
      <c r="F272" s="415">
        <f t="shared" si="27"/>
        <v>0.15471003624161533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0.29213395592803804</v>
      </c>
      <c r="D273" s="366">
        <f>IF(LN_IIA11=0,0,LN_IIA12/LN_IIA11)</f>
        <v>0.30751465368104541</v>
      </c>
      <c r="E273" s="367">
        <f t="shared" si="26"/>
        <v>1.5380697753007377E-2</v>
      </c>
      <c r="F273" s="371">
        <f t="shared" si="27"/>
        <v>5.2649469330419557E-2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104729</v>
      </c>
      <c r="D274" s="421">
        <f>LN_IA8+LN_IB10+LN_IF11+LN_IG6</f>
        <v>104095</v>
      </c>
      <c r="E274" s="442">
        <f t="shared" si="26"/>
        <v>-634</v>
      </c>
      <c r="F274" s="371">
        <f t="shared" si="27"/>
        <v>-6.0537196001107622E-3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515488747</v>
      </c>
      <c r="D277" s="361">
        <f>LN_IA1+LN_IF1+LN_IG1</f>
        <v>534646897</v>
      </c>
      <c r="E277" s="361">
        <f t="shared" ref="E277:E291" si="28">D277-C277</f>
        <v>19158150</v>
      </c>
      <c r="F277" s="415">
        <f t="shared" ref="F277:F291" si="29">IF(C277=0,0,E277/C277)</f>
        <v>3.7165020791423795E-2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147433114</v>
      </c>
      <c r="D278" s="361">
        <f>LN_IA2+LN_IF2+LN_IG2</f>
        <v>162783047</v>
      </c>
      <c r="E278" s="361">
        <f t="shared" si="28"/>
        <v>15349933</v>
      </c>
      <c r="F278" s="415">
        <f t="shared" si="29"/>
        <v>0.10411455461762817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0.2860064644631321</v>
      </c>
      <c r="D279" s="366">
        <f>IF(D277=0,0,LN_IIB2/D277)</f>
        <v>0.30446832837411941</v>
      </c>
      <c r="E279" s="367">
        <f t="shared" si="28"/>
        <v>1.8461863910987308E-2</v>
      </c>
      <c r="F279" s="371">
        <f t="shared" si="29"/>
        <v>6.4550512680342412E-2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12637</v>
      </c>
      <c r="D280" s="369">
        <f>LN_IA4+LN_IF4+LN_IG3</f>
        <v>12969</v>
      </c>
      <c r="E280" s="369">
        <f t="shared" si="28"/>
        <v>332</v>
      </c>
      <c r="F280" s="415">
        <f t="shared" si="29"/>
        <v>2.6272058241671281E-2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1.3720660227902193</v>
      </c>
      <c r="D281" s="439">
        <f>IF(LN_IIB4=0,0,LN_IIB6/LN_IIB4)</f>
        <v>1.3261246996684399</v>
      </c>
      <c r="E281" s="439">
        <f t="shared" si="28"/>
        <v>-4.5941323121779343E-2</v>
      </c>
      <c r="F281" s="415">
        <f t="shared" si="29"/>
        <v>-3.3483318119308533E-2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17338.798330000001</v>
      </c>
      <c r="D282" s="376">
        <f>LN_IA6+LN_IF6+LN_IG5</f>
        <v>17198.511229999996</v>
      </c>
      <c r="E282" s="376">
        <f t="shared" si="28"/>
        <v>-140.28710000000501</v>
      </c>
      <c r="F282" s="415">
        <f t="shared" si="29"/>
        <v>-8.0909355613922179E-3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264895308</v>
      </c>
      <c r="D283" s="361">
        <f>LN_IA11+LN_IF14+LN_IG9</f>
        <v>305256967</v>
      </c>
      <c r="E283" s="361">
        <f t="shared" si="28"/>
        <v>40361659</v>
      </c>
      <c r="F283" s="415">
        <f t="shared" si="29"/>
        <v>0.15236834243964789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0.51387214472016396</v>
      </c>
      <c r="D284" s="366">
        <f>IF(D277=0,0,LN_IIB7/D277)</f>
        <v>0.57095060069150649</v>
      </c>
      <c r="E284" s="367">
        <f t="shared" si="28"/>
        <v>5.7078455971342534E-2</v>
      </c>
      <c r="F284" s="371">
        <f t="shared" si="29"/>
        <v>0.11107520918929237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46245992</v>
      </c>
      <c r="D285" s="361">
        <f>LN_IA12+LN_IF15+LN_IG10</f>
        <v>54920918</v>
      </c>
      <c r="E285" s="361">
        <f t="shared" si="28"/>
        <v>8674926</v>
      </c>
      <c r="F285" s="415">
        <f t="shared" si="29"/>
        <v>0.18758222334164656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0.17458214850676027</v>
      </c>
      <c r="D286" s="366">
        <f>IF(LN_IIB7=0,0,LN_IIB9/LN_IIB7)</f>
        <v>0.17991700087880386</v>
      </c>
      <c r="E286" s="367">
        <f t="shared" si="28"/>
        <v>5.3348523720435914E-3</v>
      </c>
      <c r="F286" s="371">
        <f t="shared" si="29"/>
        <v>3.055783433571968E-2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780384055</v>
      </c>
      <c r="D287" s="353">
        <f>D277+LN_IIB7</f>
        <v>839903864</v>
      </c>
      <c r="E287" s="353">
        <f t="shared" si="28"/>
        <v>59519809</v>
      </c>
      <c r="F287" s="415">
        <f t="shared" si="29"/>
        <v>7.6269893802481656E-2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193679106</v>
      </c>
      <c r="D288" s="353">
        <f>LN_IIB2+LN_IIB9</f>
        <v>217703965</v>
      </c>
      <c r="E288" s="353">
        <f t="shared" si="28"/>
        <v>24024859</v>
      </c>
      <c r="F288" s="415">
        <f t="shared" si="29"/>
        <v>0.12404466075963816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0.24818434559122302</v>
      </c>
      <c r="D289" s="366">
        <f>IF(LN_IIB11=0,0,LN_IIB12/LN_IIB11)</f>
        <v>0.25920105184800057</v>
      </c>
      <c r="E289" s="367">
        <f t="shared" si="28"/>
        <v>1.1016706256777559E-2</v>
      </c>
      <c r="F289" s="371">
        <f t="shared" si="29"/>
        <v>4.43892068636869E-2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79896</v>
      </c>
      <c r="D290" s="421">
        <f>LN_IA8+LN_IF11+LN_IG6</f>
        <v>78575</v>
      </c>
      <c r="E290" s="442">
        <f t="shared" si="28"/>
        <v>-1321</v>
      </c>
      <c r="F290" s="371">
        <f t="shared" si="29"/>
        <v>-1.6533994192450184E-2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586704949</v>
      </c>
      <c r="D291" s="429">
        <f>LN_IIB11-LN_IIB12</f>
        <v>622199899</v>
      </c>
      <c r="E291" s="353">
        <f t="shared" si="28"/>
        <v>35494950</v>
      </c>
      <c r="F291" s="415">
        <f t="shared" si="29"/>
        <v>6.0498807893982841E-2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7.5506703185815196</v>
      </c>
      <c r="D294" s="379">
        <f>IF(LN_IA4=0,0,LN_IA8/LN_IA4)</f>
        <v>7.4060877091748409</v>
      </c>
      <c r="E294" s="379">
        <f t="shared" ref="E294:E300" si="30">D294-C294</f>
        <v>-0.14458260940667866</v>
      </c>
      <c r="F294" s="415">
        <f t="shared" ref="F294:F300" si="31">IF(C294=0,0,E294/C294)</f>
        <v>-1.9148314428571182E-2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3.8759169658186359</v>
      </c>
      <c r="D295" s="379">
        <f>IF(LN_IB4=0,0,(LN_IB10)/(LN_IB4))</f>
        <v>4.1911643948103139</v>
      </c>
      <c r="E295" s="379">
        <f t="shared" si="30"/>
        <v>0.31524742899167801</v>
      </c>
      <c r="F295" s="415">
        <f t="shared" si="31"/>
        <v>8.1334928423858616E-2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3.897106109324759</v>
      </c>
      <c r="D296" s="379">
        <f>IF(LN_IC4=0,0,LN_IC11/LN_IC4)</f>
        <v>4.221374045801527</v>
      </c>
      <c r="E296" s="379">
        <f t="shared" si="30"/>
        <v>0.32426793647676799</v>
      </c>
      <c r="F296" s="415">
        <f t="shared" si="31"/>
        <v>8.3207366538180561E-2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4.7764906950246866</v>
      </c>
      <c r="D297" s="379">
        <f>IF(LN_ID4=0,0,LN_ID11/LN_ID4)</f>
        <v>4.515323117921386</v>
      </c>
      <c r="E297" s="379">
        <f t="shared" si="30"/>
        <v>-0.26116757710330063</v>
      </c>
      <c r="F297" s="415">
        <f t="shared" si="31"/>
        <v>-5.4677710850633367E-2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5.5369458128078817</v>
      </c>
      <c r="D298" s="379">
        <f>IF(LN_IE4=0,0,LN_IE11/LN_IE4)</f>
        <v>0</v>
      </c>
      <c r="E298" s="379">
        <f t="shared" si="30"/>
        <v>-5.5369458128078817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4.1428571428571432</v>
      </c>
      <c r="D299" s="379">
        <f>IF(LN_IG3=0,0,LN_IG6/LN_IG3)</f>
        <v>3.8181818181818183</v>
      </c>
      <c r="E299" s="379">
        <f t="shared" si="30"/>
        <v>-0.32467532467532489</v>
      </c>
      <c r="F299" s="415">
        <f t="shared" si="31"/>
        <v>-7.8369905956112901E-2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5.4993173703003571</v>
      </c>
      <c r="D300" s="379">
        <f>IF(LN_IIA4=0,0,LN_IIA14/LN_IIA4)</f>
        <v>5.4620107041662296</v>
      </c>
      <c r="E300" s="379">
        <f t="shared" si="30"/>
        <v>-3.7306666134127475E-2</v>
      </c>
      <c r="F300" s="415">
        <f t="shared" si="31"/>
        <v>-6.7838721830469463E-3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1185589696</v>
      </c>
      <c r="D304" s="353">
        <f>LN_IIA11</f>
        <v>1300539601</v>
      </c>
      <c r="E304" s="353">
        <f t="shared" ref="E304:E316" si="32">D304-C304</f>
        <v>114949905</v>
      </c>
      <c r="F304" s="362">
        <f>IF(C304=0,0,E304/C304)</f>
        <v>9.6955890716513116E-2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586704949</v>
      </c>
      <c r="D305" s="353">
        <f>LN_IIB14</f>
        <v>622199899</v>
      </c>
      <c r="E305" s="353">
        <f t="shared" si="32"/>
        <v>35494950</v>
      </c>
      <c r="F305" s="362">
        <f>IF(C305=0,0,E305/C305)</f>
        <v>6.0498807893982841E-2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37606259</v>
      </c>
      <c r="D306" s="353">
        <f>LN_IH6</f>
        <v>41879774</v>
      </c>
      <c r="E306" s="353">
        <f t="shared" si="32"/>
        <v>4273515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213942306</v>
      </c>
      <c r="D307" s="353">
        <f>LN_IB32-LN_IB33</f>
        <v>288477470</v>
      </c>
      <c r="E307" s="353">
        <f t="shared" si="32"/>
        <v>74535164</v>
      </c>
      <c r="F307" s="362">
        <f t="shared" ref="F307:F316" si="33">IF(C307=0,0,E307/C307)</f>
        <v>0.34838908392433615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1011938</v>
      </c>
      <c r="D308" s="353">
        <v>1113987</v>
      </c>
      <c r="E308" s="353">
        <f t="shared" si="32"/>
        <v>102049</v>
      </c>
      <c r="F308" s="362">
        <f t="shared" si="33"/>
        <v>0.10084511106411657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839265452</v>
      </c>
      <c r="D309" s="353">
        <f>LN_III2+LN_III3+LN_III4+LN_III5</f>
        <v>953671130</v>
      </c>
      <c r="E309" s="353">
        <f t="shared" si="32"/>
        <v>114405678</v>
      </c>
      <c r="F309" s="362">
        <f t="shared" si="33"/>
        <v>0.13631643924740036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346324244</v>
      </c>
      <c r="D310" s="353">
        <f>LN_III1-LN_III6</f>
        <v>346868471</v>
      </c>
      <c r="E310" s="353">
        <f t="shared" si="32"/>
        <v>544227</v>
      </c>
      <c r="F310" s="362">
        <f t="shared" si="33"/>
        <v>1.5714377766749706E-3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2988794</v>
      </c>
      <c r="D311" s="353">
        <f>LN_IH3</f>
        <v>0</v>
      </c>
      <c r="E311" s="353">
        <f t="shared" si="32"/>
        <v>-2988794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349313038</v>
      </c>
      <c r="D312" s="353">
        <f>LN_III7+LN_III8</f>
        <v>346868471</v>
      </c>
      <c r="E312" s="353">
        <f t="shared" si="32"/>
        <v>-2444567</v>
      </c>
      <c r="F312" s="362">
        <f t="shared" si="33"/>
        <v>-6.9982128751804561E-3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0.29463231603524326</v>
      </c>
      <c r="D313" s="448">
        <f>IF(LN_III1=0,0,LN_III9/LN_III1)</f>
        <v>0.26671119490193823</v>
      </c>
      <c r="E313" s="448">
        <f t="shared" si="32"/>
        <v>-2.7921121133305027E-2</v>
      </c>
      <c r="F313" s="362">
        <f t="shared" si="33"/>
        <v>-9.4765983273759985E-2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11080019.186591212</v>
      </c>
      <c r="D314" s="353">
        <f>D313*LN_III5</f>
        <v>11169804.565763125</v>
      </c>
      <c r="E314" s="353">
        <f t="shared" si="32"/>
        <v>89785.37917191349</v>
      </c>
      <c r="F314" s="362">
        <f t="shared" si="33"/>
        <v>8.1033595393561891E-3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29366092.608358413</v>
      </c>
      <c r="D315" s="353">
        <f>D313*LN_IH8-LN_IH9</f>
        <v>16747991.250096887</v>
      </c>
      <c r="E315" s="353">
        <f t="shared" si="32"/>
        <v>-12618101.358261526</v>
      </c>
      <c r="F315" s="362">
        <f t="shared" si="33"/>
        <v>-0.42968267949512834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40446111.794949621</v>
      </c>
      <c r="D318" s="353">
        <f>D314+D315+D316</f>
        <v>27917795.815860011</v>
      </c>
      <c r="E318" s="353">
        <f>D318-C318</f>
        <v>-12528315.97908961</v>
      </c>
      <c r="F318" s="362">
        <f>IF(C318=0,0,E318/C318)</f>
        <v>-0.3097532846322692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18647091.893628832</v>
      </c>
      <c r="D322" s="353">
        <f>LN_ID22</f>
        <v>25019700.79415749</v>
      </c>
      <c r="E322" s="353">
        <f>LN_IV2-C322</f>
        <v>6372608.9005286582</v>
      </c>
      <c r="F322" s="362">
        <f>IF(C322=0,0,E322/C322)</f>
        <v>0.34174813621774414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5396562.2985240165</v>
      </c>
      <c r="D323" s="353">
        <f>LN_IE10+LN_IE22</f>
        <v>0</v>
      </c>
      <c r="E323" s="353">
        <f>LN_IV3-C323</f>
        <v>-5396562.2985240165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9325488.1731058471</v>
      </c>
      <c r="D324" s="353">
        <f>LN_IC10+LN_IC22</f>
        <v>6513162.0501865735</v>
      </c>
      <c r="E324" s="353">
        <f>LN_IV1-C324</f>
        <v>-2812326.1229192736</v>
      </c>
      <c r="F324" s="362">
        <f>IF(C324=0,0,E324/C324)</f>
        <v>-0.3015741450436723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33369142.365258694</v>
      </c>
      <c r="D325" s="429">
        <f>LN_IV1+LN_IV2+LN_IV3</f>
        <v>31532862.844344065</v>
      </c>
      <c r="E325" s="353">
        <f>LN_IV4-C325</f>
        <v>-1836279.5209146291</v>
      </c>
      <c r="F325" s="362">
        <f>IF(C325=0,0,E325/C325)</f>
        <v>-5.5029269281622828E-2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1451547</v>
      </c>
      <c r="D329" s="431">
        <v>1626157</v>
      </c>
      <c r="E329" s="431">
        <f t="shared" ref="E329:E335" si="34">D329-C329</f>
        <v>174610</v>
      </c>
      <c r="F329" s="462">
        <f t="shared" ref="F329:F335" si="35">IF(C329=0,0,E329/C329)</f>
        <v>0.12029235016158622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9722198</v>
      </c>
      <c r="D330" s="429">
        <v>9679611</v>
      </c>
      <c r="E330" s="431">
        <f t="shared" si="34"/>
        <v>-42587</v>
      </c>
      <c r="F330" s="463">
        <f t="shared" si="35"/>
        <v>-4.3803880562811003E-3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359062000</v>
      </c>
      <c r="D331" s="429">
        <v>409615000</v>
      </c>
      <c r="E331" s="431">
        <f t="shared" si="34"/>
        <v>50553000</v>
      </c>
      <c r="F331" s="462">
        <f t="shared" si="35"/>
        <v>0.14079184096339908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1185590000</v>
      </c>
      <c r="D333" s="429">
        <v>1300540000</v>
      </c>
      <c r="E333" s="431">
        <f t="shared" si="34"/>
        <v>114950000</v>
      </c>
      <c r="F333" s="462">
        <f t="shared" si="35"/>
        <v>9.6955945984699601E-2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37606259</v>
      </c>
      <c r="D335" s="429">
        <v>41879774</v>
      </c>
      <c r="E335" s="429">
        <f t="shared" si="34"/>
        <v>4273515</v>
      </c>
      <c r="F335" s="462">
        <f t="shared" si="35"/>
        <v>0.11363839726785906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196128578</v>
      </c>
      <c r="D14" s="513">
        <v>213400151</v>
      </c>
      <c r="E14" s="514">
        <f t="shared" ref="E14:E22" si="0">D14-C14</f>
        <v>17271573</v>
      </c>
    </row>
    <row r="15" spans="1:5" s="506" customFormat="1" x14ac:dyDescent="0.2">
      <c r="A15" s="512">
        <v>2</v>
      </c>
      <c r="B15" s="511" t="s">
        <v>605</v>
      </c>
      <c r="C15" s="513">
        <v>347619438</v>
      </c>
      <c r="D15" s="515">
        <v>355841758</v>
      </c>
      <c r="E15" s="514">
        <f t="shared" si="0"/>
        <v>8222320</v>
      </c>
    </row>
    <row r="16" spans="1:5" s="506" customFormat="1" x14ac:dyDescent="0.2">
      <c r="A16" s="512">
        <v>3</v>
      </c>
      <c r="B16" s="511" t="s">
        <v>751</v>
      </c>
      <c r="C16" s="513">
        <v>167089269</v>
      </c>
      <c r="D16" s="515">
        <v>177982732</v>
      </c>
      <c r="E16" s="514">
        <f t="shared" si="0"/>
        <v>10893463</v>
      </c>
    </row>
    <row r="17" spans="1:5" s="506" customFormat="1" x14ac:dyDescent="0.2">
      <c r="A17" s="512">
        <v>4</v>
      </c>
      <c r="B17" s="511" t="s">
        <v>114</v>
      </c>
      <c r="C17" s="513">
        <v>151940447</v>
      </c>
      <c r="D17" s="515">
        <v>177982732</v>
      </c>
      <c r="E17" s="514">
        <f t="shared" si="0"/>
        <v>26042285</v>
      </c>
    </row>
    <row r="18" spans="1:5" s="506" customFormat="1" x14ac:dyDescent="0.2">
      <c r="A18" s="512">
        <v>5</v>
      </c>
      <c r="B18" s="511" t="s">
        <v>718</v>
      </c>
      <c r="C18" s="513">
        <v>15148822</v>
      </c>
      <c r="D18" s="515">
        <v>0</v>
      </c>
      <c r="E18" s="514">
        <f t="shared" si="0"/>
        <v>-15148822</v>
      </c>
    </row>
    <row r="19" spans="1:5" s="506" customFormat="1" x14ac:dyDescent="0.2">
      <c r="A19" s="512">
        <v>6</v>
      </c>
      <c r="B19" s="511" t="s">
        <v>418</v>
      </c>
      <c r="C19" s="513">
        <v>780040</v>
      </c>
      <c r="D19" s="515">
        <v>822407</v>
      </c>
      <c r="E19" s="514">
        <f t="shared" si="0"/>
        <v>42367</v>
      </c>
    </row>
    <row r="20" spans="1:5" s="506" customFormat="1" x14ac:dyDescent="0.2">
      <c r="A20" s="512">
        <v>7</v>
      </c>
      <c r="B20" s="511" t="s">
        <v>733</v>
      </c>
      <c r="C20" s="513">
        <v>9670822</v>
      </c>
      <c r="D20" s="515">
        <v>9870815</v>
      </c>
      <c r="E20" s="514">
        <f t="shared" si="0"/>
        <v>199993</v>
      </c>
    </row>
    <row r="21" spans="1:5" s="506" customFormat="1" x14ac:dyDescent="0.2">
      <c r="A21" s="512"/>
      <c r="B21" s="516" t="s">
        <v>752</v>
      </c>
      <c r="C21" s="517">
        <f>SUM(C15+C16+C19)</f>
        <v>515488747</v>
      </c>
      <c r="D21" s="517">
        <f>SUM(D15+D16+D19)</f>
        <v>534646897</v>
      </c>
      <c r="E21" s="517">
        <f t="shared" si="0"/>
        <v>19158150</v>
      </c>
    </row>
    <row r="22" spans="1:5" s="506" customFormat="1" x14ac:dyDescent="0.2">
      <c r="A22" s="512"/>
      <c r="B22" s="516" t="s">
        <v>692</v>
      </c>
      <c r="C22" s="517">
        <f>SUM(C14+C21)</f>
        <v>711617325</v>
      </c>
      <c r="D22" s="517">
        <f>SUM(D14+D21)</f>
        <v>748047048</v>
      </c>
      <c r="E22" s="517">
        <f t="shared" si="0"/>
        <v>36429723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209077063</v>
      </c>
      <c r="D25" s="513">
        <v>247235586</v>
      </c>
      <c r="E25" s="514">
        <f t="shared" ref="E25:E33" si="1">D25-C25</f>
        <v>38158523</v>
      </c>
    </row>
    <row r="26" spans="1:5" s="506" customFormat="1" x14ac:dyDescent="0.2">
      <c r="A26" s="512">
        <v>2</v>
      </c>
      <c r="B26" s="511" t="s">
        <v>605</v>
      </c>
      <c r="C26" s="513">
        <v>119913466</v>
      </c>
      <c r="D26" s="515">
        <v>145753576</v>
      </c>
      <c r="E26" s="514">
        <f t="shared" si="1"/>
        <v>25840110</v>
      </c>
    </row>
    <row r="27" spans="1:5" s="506" customFormat="1" x14ac:dyDescent="0.2">
      <c r="A27" s="512">
        <v>3</v>
      </c>
      <c r="B27" s="511" t="s">
        <v>751</v>
      </c>
      <c r="C27" s="513">
        <v>144301212</v>
      </c>
      <c r="D27" s="515">
        <v>158446128</v>
      </c>
      <c r="E27" s="514">
        <f t="shared" si="1"/>
        <v>14144916</v>
      </c>
    </row>
    <row r="28" spans="1:5" s="506" customFormat="1" x14ac:dyDescent="0.2">
      <c r="A28" s="512">
        <v>4</v>
      </c>
      <c r="B28" s="511" t="s">
        <v>114</v>
      </c>
      <c r="C28" s="513">
        <v>129447743</v>
      </c>
      <c r="D28" s="515">
        <v>158446128</v>
      </c>
      <c r="E28" s="514">
        <f t="shared" si="1"/>
        <v>28998385</v>
      </c>
    </row>
    <row r="29" spans="1:5" s="506" customFormat="1" x14ac:dyDescent="0.2">
      <c r="A29" s="512">
        <v>5</v>
      </c>
      <c r="B29" s="511" t="s">
        <v>718</v>
      </c>
      <c r="C29" s="513">
        <v>14853469</v>
      </c>
      <c r="D29" s="515">
        <v>0</v>
      </c>
      <c r="E29" s="514">
        <f t="shared" si="1"/>
        <v>-14853469</v>
      </c>
    </row>
    <row r="30" spans="1:5" s="506" customFormat="1" x14ac:dyDescent="0.2">
      <c r="A30" s="512">
        <v>6</v>
      </c>
      <c r="B30" s="511" t="s">
        <v>418</v>
      </c>
      <c r="C30" s="513">
        <v>680630</v>
      </c>
      <c r="D30" s="515">
        <v>1057263</v>
      </c>
      <c r="E30" s="514">
        <f t="shared" si="1"/>
        <v>376633</v>
      </c>
    </row>
    <row r="31" spans="1:5" s="506" customFormat="1" x14ac:dyDescent="0.2">
      <c r="A31" s="512">
        <v>7</v>
      </c>
      <c r="B31" s="511" t="s">
        <v>733</v>
      </c>
      <c r="C31" s="514">
        <v>30889642</v>
      </c>
      <c r="D31" s="518">
        <v>33143267</v>
      </c>
      <c r="E31" s="514">
        <f t="shared" si="1"/>
        <v>2253625</v>
      </c>
    </row>
    <row r="32" spans="1:5" s="506" customFormat="1" x14ac:dyDescent="0.2">
      <c r="A32" s="512"/>
      <c r="B32" s="516" t="s">
        <v>754</v>
      </c>
      <c r="C32" s="517">
        <f>SUM(C26+C27+C30)</f>
        <v>264895308</v>
      </c>
      <c r="D32" s="517">
        <f>SUM(D26+D27+D30)</f>
        <v>305256967</v>
      </c>
      <c r="E32" s="517">
        <f t="shared" si="1"/>
        <v>40361659</v>
      </c>
    </row>
    <row r="33" spans="1:5" s="506" customFormat="1" x14ac:dyDescent="0.2">
      <c r="A33" s="512"/>
      <c r="B33" s="516" t="s">
        <v>698</v>
      </c>
      <c r="C33" s="517">
        <f>SUM(C25+C32)</f>
        <v>473972371</v>
      </c>
      <c r="D33" s="517">
        <f>SUM(D25+D32)</f>
        <v>552492553</v>
      </c>
      <c r="E33" s="517">
        <f t="shared" si="1"/>
        <v>78520182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405205641</v>
      </c>
      <c r="D36" s="514">
        <f t="shared" si="2"/>
        <v>460635737</v>
      </c>
      <c r="E36" s="514">
        <f t="shared" ref="E36:E44" si="3">D36-C36</f>
        <v>55430096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467532904</v>
      </c>
      <c r="D37" s="514">
        <f t="shared" si="2"/>
        <v>501595334</v>
      </c>
      <c r="E37" s="514">
        <f t="shared" si="3"/>
        <v>34062430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311390481</v>
      </c>
      <c r="D38" s="514">
        <f t="shared" si="2"/>
        <v>336428860</v>
      </c>
      <c r="E38" s="514">
        <f t="shared" si="3"/>
        <v>25038379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281388190</v>
      </c>
      <c r="D39" s="514">
        <f t="shared" si="2"/>
        <v>336428860</v>
      </c>
      <c r="E39" s="514">
        <f t="shared" si="3"/>
        <v>55040670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30002291</v>
      </c>
      <c r="D40" s="514">
        <f t="shared" si="2"/>
        <v>0</v>
      </c>
      <c r="E40" s="514">
        <f t="shared" si="3"/>
        <v>-30002291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1460670</v>
      </c>
      <c r="D41" s="514">
        <f t="shared" si="2"/>
        <v>1879670</v>
      </c>
      <c r="E41" s="514">
        <f t="shared" si="3"/>
        <v>419000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40560464</v>
      </c>
      <c r="D42" s="514">
        <f t="shared" si="2"/>
        <v>43014082</v>
      </c>
      <c r="E42" s="514">
        <f t="shared" si="3"/>
        <v>2453618</v>
      </c>
    </row>
    <row r="43" spans="1:5" s="506" customFormat="1" x14ac:dyDescent="0.2">
      <c r="A43" s="512"/>
      <c r="B43" s="516" t="s">
        <v>762</v>
      </c>
      <c r="C43" s="517">
        <f>SUM(C37+C38+C41)</f>
        <v>780384055</v>
      </c>
      <c r="D43" s="517">
        <f>SUM(D37+D38+D41)</f>
        <v>839903864</v>
      </c>
      <c r="E43" s="517">
        <f t="shared" si="3"/>
        <v>59519809</v>
      </c>
    </row>
    <row r="44" spans="1:5" s="506" customFormat="1" x14ac:dyDescent="0.2">
      <c r="A44" s="512"/>
      <c r="B44" s="516" t="s">
        <v>700</v>
      </c>
      <c r="C44" s="517">
        <f>SUM(C36+C43)</f>
        <v>1185589696</v>
      </c>
      <c r="D44" s="517">
        <f>SUM(D36+D43)</f>
        <v>1300539601</v>
      </c>
      <c r="E44" s="517">
        <f t="shared" si="3"/>
        <v>114949905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86137720</v>
      </c>
      <c r="D47" s="513">
        <v>95766076</v>
      </c>
      <c r="E47" s="514">
        <f t="shared" ref="E47:E55" si="4">D47-C47</f>
        <v>9628356</v>
      </c>
    </row>
    <row r="48" spans="1:5" s="506" customFormat="1" x14ac:dyDescent="0.2">
      <c r="A48" s="512">
        <v>2</v>
      </c>
      <c r="B48" s="511" t="s">
        <v>605</v>
      </c>
      <c r="C48" s="513">
        <v>109039611</v>
      </c>
      <c r="D48" s="515">
        <v>116690530</v>
      </c>
      <c r="E48" s="514">
        <f t="shared" si="4"/>
        <v>7650919</v>
      </c>
    </row>
    <row r="49" spans="1:5" s="506" customFormat="1" x14ac:dyDescent="0.2">
      <c r="A49" s="512">
        <v>3</v>
      </c>
      <c r="B49" s="511" t="s">
        <v>751</v>
      </c>
      <c r="C49" s="513">
        <v>38310047</v>
      </c>
      <c r="D49" s="515">
        <v>45929919</v>
      </c>
      <c r="E49" s="514">
        <f t="shared" si="4"/>
        <v>7619872</v>
      </c>
    </row>
    <row r="50" spans="1:5" s="506" customFormat="1" x14ac:dyDescent="0.2">
      <c r="A50" s="512">
        <v>4</v>
      </c>
      <c r="B50" s="511" t="s">
        <v>114</v>
      </c>
      <c r="C50" s="513">
        <v>36750880</v>
      </c>
      <c r="D50" s="515">
        <v>45929919</v>
      </c>
      <c r="E50" s="514">
        <f t="shared" si="4"/>
        <v>9179039</v>
      </c>
    </row>
    <row r="51" spans="1:5" s="506" customFormat="1" x14ac:dyDescent="0.2">
      <c r="A51" s="512">
        <v>5</v>
      </c>
      <c r="B51" s="511" t="s">
        <v>718</v>
      </c>
      <c r="C51" s="513">
        <v>1559167</v>
      </c>
      <c r="D51" s="515">
        <v>0</v>
      </c>
      <c r="E51" s="514">
        <f t="shared" si="4"/>
        <v>-1559167</v>
      </c>
    </row>
    <row r="52" spans="1:5" s="506" customFormat="1" x14ac:dyDescent="0.2">
      <c r="A52" s="512">
        <v>6</v>
      </c>
      <c r="B52" s="511" t="s">
        <v>418</v>
      </c>
      <c r="C52" s="513">
        <v>83456</v>
      </c>
      <c r="D52" s="515">
        <v>162598</v>
      </c>
      <c r="E52" s="514">
        <f t="shared" si="4"/>
        <v>79142</v>
      </c>
    </row>
    <row r="53" spans="1:5" s="506" customFormat="1" x14ac:dyDescent="0.2">
      <c r="A53" s="512">
        <v>7</v>
      </c>
      <c r="B53" s="511" t="s">
        <v>733</v>
      </c>
      <c r="C53" s="513">
        <v>952380</v>
      </c>
      <c r="D53" s="515">
        <v>2770737</v>
      </c>
      <c r="E53" s="514">
        <f t="shared" si="4"/>
        <v>1818357</v>
      </c>
    </row>
    <row r="54" spans="1:5" s="506" customFormat="1" x14ac:dyDescent="0.2">
      <c r="A54" s="512"/>
      <c r="B54" s="516" t="s">
        <v>764</v>
      </c>
      <c r="C54" s="517">
        <f>SUM(C48+C49+C52)</f>
        <v>147433114</v>
      </c>
      <c r="D54" s="517">
        <f>SUM(D48+D49+D52)</f>
        <v>162783047</v>
      </c>
      <c r="E54" s="517">
        <f t="shared" si="4"/>
        <v>15349933</v>
      </c>
    </row>
    <row r="55" spans="1:5" s="506" customFormat="1" x14ac:dyDescent="0.2">
      <c r="A55" s="512"/>
      <c r="B55" s="516" t="s">
        <v>693</v>
      </c>
      <c r="C55" s="517">
        <f>SUM(C47+C54)</f>
        <v>233570834</v>
      </c>
      <c r="D55" s="517">
        <f>SUM(D47+D54)</f>
        <v>258549123</v>
      </c>
      <c r="E55" s="517">
        <f t="shared" si="4"/>
        <v>24978289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66534182</v>
      </c>
      <c r="D58" s="513">
        <v>86464944</v>
      </c>
      <c r="E58" s="514">
        <f t="shared" ref="E58:E66" si="5">D58-C58</f>
        <v>19930762</v>
      </c>
    </row>
    <row r="59" spans="1:5" s="506" customFormat="1" x14ac:dyDescent="0.2">
      <c r="A59" s="512">
        <v>2</v>
      </c>
      <c r="B59" s="511" t="s">
        <v>605</v>
      </c>
      <c r="C59" s="513">
        <v>22007322</v>
      </c>
      <c r="D59" s="515">
        <v>27661355</v>
      </c>
      <c r="E59" s="514">
        <f t="shared" si="5"/>
        <v>5654033</v>
      </c>
    </row>
    <row r="60" spans="1:5" s="506" customFormat="1" x14ac:dyDescent="0.2">
      <c r="A60" s="512">
        <v>3</v>
      </c>
      <c r="B60" s="511" t="s">
        <v>751</v>
      </c>
      <c r="C60" s="513">
        <f>C61+C62</f>
        <v>24069559</v>
      </c>
      <c r="D60" s="515">
        <f>D61+D62</f>
        <v>27051433</v>
      </c>
      <c r="E60" s="514">
        <f t="shared" si="5"/>
        <v>2981874</v>
      </c>
    </row>
    <row r="61" spans="1:5" s="506" customFormat="1" x14ac:dyDescent="0.2">
      <c r="A61" s="512">
        <v>4</v>
      </c>
      <c r="B61" s="511" t="s">
        <v>114</v>
      </c>
      <c r="C61" s="513">
        <v>22613318</v>
      </c>
      <c r="D61" s="515">
        <v>27051433</v>
      </c>
      <c r="E61" s="514">
        <f t="shared" si="5"/>
        <v>4438115</v>
      </c>
    </row>
    <row r="62" spans="1:5" s="506" customFormat="1" x14ac:dyDescent="0.2">
      <c r="A62" s="512">
        <v>5</v>
      </c>
      <c r="B62" s="511" t="s">
        <v>718</v>
      </c>
      <c r="C62" s="513">
        <v>1456241</v>
      </c>
      <c r="D62" s="515">
        <v>0</v>
      </c>
      <c r="E62" s="514">
        <f t="shared" si="5"/>
        <v>-1456241</v>
      </c>
    </row>
    <row r="63" spans="1:5" s="506" customFormat="1" x14ac:dyDescent="0.2">
      <c r="A63" s="512">
        <v>6</v>
      </c>
      <c r="B63" s="511" t="s">
        <v>418</v>
      </c>
      <c r="C63" s="513">
        <v>169111</v>
      </c>
      <c r="D63" s="515">
        <v>208130</v>
      </c>
      <c r="E63" s="514">
        <f t="shared" si="5"/>
        <v>39019</v>
      </c>
    </row>
    <row r="64" spans="1:5" s="506" customFormat="1" x14ac:dyDescent="0.2">
      <c r="A64" s="512">
        <v>7</v>
      </c>
      <c r="B64" s="511" t="s">
        <v>733</v>
      </c>
      <c r="C64" s="513">
        <v>2336439</v>
      </c>
      <c r="D64" s="515">
        <v>2427657</v>
      </c>
      <c r="E64" s="514">
        <f t="shared" si="5"/>
        <v>91218</v>
      </c>
    </row>
    <row r="65" spans="1:5" s="506" customFormat="1" x14ac:dyDescent="0.2">
      <c r="A65" s="512"/>
      <c r="B65" s="516" t="s">
        <v>766</v>
      </c>
      <c r="C65" s="517">
        <f>SUM(C59+C60+C63)</f>
        <v>46245992</v>
      </c>
      <c r="D65" s="517">
        <f>SUM(D59+D60+D63)</f>
        <v>54920918</v>
      </c>
      <c r="E65" s="517">
        <f t="shared" si="5"/>
        <v>8674926</v>
      </c>
    </row>
    <row r="66" spans="1:5" s="506" customFormat="1" x14ac:dyDescent="0.2">
      <c r="A66" s="512"/>
      <c r="B66" s="516" t="s">
        <v>699</v>
      </c>
      <c r="C66" s="517">
        <f>SUM(C58+C65)</f>
        <v>112780174</v>
      </c>
      <c r="D66" s="517">
        <f>SUM(D58+D65)</f>
        <v>141385862</v>
      </c>
      <c r="E66" s="517">
        <f t="shared" si="5"/>
        <v>28605688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152671902</v>
      </c>
      <c r="D69" s="514">
        <f t="shared" si="6"/>
        <v>182231020</v>
      </c>
      <c r="E69" s="514">
        <f t="shared" ref="E69:E77" si="7">D69-C69</f>
        <v>29559118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131046933</v>
      </c>
      <c r="D70" s="514">
        <f t="shared" si="6"/>
        <v>144351885</v>
      </c>
      <c r="E70" s="514">
        <f t="shared" si="7"/>
        <v>13304952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62379606</v>
      </c>
      <c r="D71" s="514">
        <f t="shared" si="6"/>
        <v>72981352</v>
      </c>
      <c r="E71" s="514">
        <f t="shared" si="7"/>
        <v>10601746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59364198</v>
      </c>
      <c r="D72" s="514">
        <f t="shared" si="6"/>
        <v>72981352</v>
      </c>
      <c r="E72" s="514">
        <f t="shared" si="7"/>
        <v>13617154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3015408</v>
      </c>
      <c r="D73" s="514">
        <f t="shared" si="6"/>
        <v>0</v>
      </c>
      <c r="E73" s="514">
        <f t="shared" si="7"/>
        <v>-3015408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252567</v>
      </c>
      <c r="D74" s="514">
        <f t="shared" si="6"/>
        <v>370728</v>
      </c>
      <c r="E74" s="514">
        <f t="shared" si="7"/>
        <v>118161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3288819</v>
      </c>
      <c r="D75" s="514">
        <f t="shared" si="6"/>
        <v>5198394</v>
      </c>
      <c r="E75" s="514">
        <f t="shared" si="7"/>
        <v>1909575</v>
      </c>
    </row>
    <row r="76" spans="1:5" s="506" customFormat="1" x14ac:dyDescent="0.2">
      <c r="A76" s="512"/>
      <c r="B76" s="516" t="s">
        <v>767</v>
      </c>
      <c r="C76" s="517">
        <f>SUM(C70+C71+C74)</f>
        <v>193679106</v>
      </c>
      <c r="D76" s="517">
        <f>SUM(D70+D71+D74)</f>
        <v>217703965</v>
      </c>
      <c r="E76" s="517">
        <f t="shared" si="7"/>
        <v>24024859</v>
      </c>
    </row>
    <row r="77" spans="1:5" s="506" customFormat="1" x14ac:dyDescent="0.2">
      <c r="A77" s="512"/>
      <c r="B77" s="516" t="s">
        <v>701</v>
      </c>
      <c r="C77" s="517">
        <f>SUM(C69+C76)</f>
        <v>346351008</v>
      </c>
      <c r="D77" s="517">
        <f>SUM(D69+D76)</f>
        <v>399934985</v>
      </c>
      <c r="E77" s="517">
        <f t="shared" si="7"/>
        <v>53583977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0.16542702645081017</v>
      </c>
      <c r="D83" s="523">
        <f t="shared" si="8"/>
        <v>0.16408585393010267</v>
      </c>
      <c r="E83" s="523">
        <f t="shared" ref="E83:E91" si="9">D83-C83</f>
        <v>-1.3411725207075065E-3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0.29320382858658045</v>
      </c>
      <c r="D84" s="523">
        <f t="shared" si="8"/>
        <v>0.2736108594666315</v>
      </c>
      <c r="E84" s="523">
        <f t="shared" si="9"/>
        <v>-1.9592969119948955E-2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0.14093346928008388</v>
      </c>
      <c r="D85" s="523">
        <f t="shared" si="8"/>
        <v>0.13685298922320166</v>
      </c>
      <c r="E85" s="523">
        <f t="shared" si="9"/>
        <v>-4.0804800568822186E-3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0.12815601174050689</v>
      </c>
      <c r="D86" s="523">
        <f t="shared" si="8"/>
        <v>0.13685298922320166</v>
      </c>
      <c r="E86" s="523">
        <f t="shared" si="9"/>
        <v>8.6969774826947677E-3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1.2777457539576997E-2</v>
      </c>
      <c r="D87" s="523">
        <f t="shared" si="8"/>
        <v>0</v>
      </c>
      <c r="E87" s="523">
        <f t="shared" si="9"/>
        <v>-1.2777457539576997E-2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6.579341931122856E-4</v>
      </c>
      <c r="D88" s="523">
        <f t="shared" si="8"/>
        <v>6.3235829141045899E-4</v>
      </c>
      <c r="E88" s="523">
        <f t="shared" si="9"/>
        <v>-2.5575901701826607E-5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8.1569720390012573E-3</v>
      </c>
      <c r="D89" s="523">
        <f t="shared" si="8"/>
        <v>7.5897842652466836E-3</v>
      </c>
      <c r="E89" s="523">
        <f t="shared" si="9"/>
        <v>-5.6718777375457368E-4</v>
      </c>
    </row>
    <row r="90" spans="1:5" s="506" customFormat="1" x14ac:dyDescent="0.2">
      <c r="A90" s="512"/>
      <c r="B90" s="516" t="s">
        <v>770</v>
      </c>
      <c r="C90" s="524">
        <f>SUM(C84+C85+C88)</f>
        <v>0.4347952320597766</v>
      </c>
      <c r="D90" s="524">
        <f>SUM(D84+D85+D88)</f>
        <v>0.41109620698124361</v>
      </c>
      <c r="E90" s="525">
        <f t="shared" si="9"/>
        <v>-2.3699025078532998E-2</v>
      </c>
    </row>
    <row r="91" spans="1:5" s="506" customFormat="1" x14ac:dyDescent="0.2">
      <c r="A91" s="512"/>
      <c r="B91" s="516" t="s">
        <v>771</v>
      </c>
      <c r="C91" s="524">
        <f>SUM(C83+C90)</f>
        <v>0.60022225851058675</v>
      </c>
      <c r="D91" s="524">
        <f>SUM(D83+D90)</f>
        <v>0.57518206091134627</v>
      </c>
      <c r="E91" s="525">
        <f t="shared" si="9"/>
        <v>-2.5040197599240477E-2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0.17634858307675441</v>
      </c>
      <c r="D95" s="523">
        <f t="shared" si="10"/>
        <v>0.19010231277071277</v>
      </c>
      <c r="E95" s="523">
        <f t="shared" ref="E95:E103" si="11">D95-C95</f>
        <v>1.3753729693958355E-2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0.10114246640686055</v>
      </c>
      <c r="D96" s="523">
        <f t="shared" si="10"/>
        <v>0.1120716169564759</v>
      </c>
      <c r="E96" s="523">
        <f t="shared" si="11"/>
        <v>1.0929150549615352E-2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0.12171260638216613</v>
      </c>
      <c r="D97" s="523">
        <f t="shared" si="10"/>
        <v>0.12183106756470079</v>
      </c>
      <c r="E97" s="523">
        <f t="shared" si="11"/>
        <v>1.1846118253465432E-4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0.10918426791050653</v>
      </c>
      <c r="D98" s="523">
        <f t="shared" si="10"/>
        <v>0.12183106756470079</v>
      </c>
      <c r="E98" s="523">
        <f t="shared" si="11"/>
        <v>1.2646799654194255E-2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1.2528338471659592E-2</v>
      </c>
      <c r="D99" s="523">
        <f t="shared" si="10"/>
        <v>0</v>
      </c>
      <c r="E99" s="523">
        <f t="shared" si="11"/>
        <v>-1.2528338471659592E-2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5.7408562363214061E-4</v>
      </c>
      <c r="D100" s="523">
        <f t="shared" si="10"/>
        <v>8.1294179676424938E-4</v>
      </c>
      <c r="E100" s="523">
        <f t="shared" si="11"/>
        <v>2.3885617313210877E-4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2.6054242968049549E-2</v>
      </c>
      <c r="D101" s="523">
        <f t="shared" si="10"/>
        <v>2.5484242828527296E-2</v>
      </c>
      <c r="E101" s="523">
        <f t="shared" si="11"/>
        <v>-5.7000013952225245E-4</v>
      </c>
    </row>
    <row r="102" spans="1:5" s="506" customFormat="1" x14ac:dyDescent="0.2">
      <c r="A102" s="512"/>
      <c r="B102" s="516" t="s">
        <v>773</v>
      </c>
      <c r="C102" s="524">
        <f>SUM(C96+C97+C100)</f>
        <v>0.22342915841265881</v>
      </c>
      <c r="D102" s="524">
        <f>SUM(D96+D97+D100)</f>
        <v>0.23471562631794093</v>
      </c>
      <c r="E102" s="525">
        <f t="shared" si="11"/>
        <v>1.1286467905282122E-2</v>
      </c>
    </row>
    <row r="103" spans="1:5" s="506" customFormat="1" x14ac:dyDescent="0.2">
      <c r="A103" s="512"/>
      <c r="B103" s="516" t="s">
        <v>774</v>
      </c>
      <c r="C103" s="524">
        <f>SUM(C95+C102)</f>
        <v>0.39977774148941325</v>
      </c>
      <c r="D103" s="524">
        <f>SUM(D95+D102)</f>
        <v>0.42481793908865373</v>
      </c>
      <c r="E103" s="525">
        <f t="shared" si="11"/>
        <v>2.5040197599240477E-2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0.2487006476389409</v>
      </c>
      <c r="D109" s="523">
        <f t="shared" si="12"/>
        <v>0.23945411027244839</v>
      </c>
      <c r="E109" s="523">
        <f t="shared" ref="E109:E117" si="13">D109-C109</f>
        <v>-9.2465373664925021E-3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0.31482400363044416</v>
      </c>
      <c r="D110" s="523">
        <f t="shared" si="12"/>
        <v>0.29177374917575666</v>
      </c>
      <c r="E110" s="523">
        <f t="shared" si="13"/>
        <v>-2.3050254454687502E-2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0.11061046774837162</v>
      </c>
      <c r="D111" s="523">
        <f t="shared" si="12"/>
        <v>0.11484346386950869</v>
      </c>
      <c r="E111" s="523">
        <f t="shared" si="13"/>
        <v>4.2329961211370754E-3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0.10610877159624146</v>
      </c>
      <c r="D112" s="523">
        <f t="shared" si="12"/>
        <v>0.11484346386950869</v>
      </c>
      <c r="E112" s="523">
        <f t="shared" si="13"/>
        <v>8.7346922732672305E-3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4.5016961521301534E-3</v>
      </c>
      <c r="D113" s="523">
        <f t="shared" si="12"/>
        <v>0</v>
      </c>
      <c r="E113" s="523">
        <f t="shared" si="13"/>
        <v>-4.5016961521301534E-3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2.4095786665070135E-4</v>
      </c>
      <c r="D114" s="523">
        <f t="shared" si="12"/>
        <v>4.0656108142177161E-4</v>
      </c>
      <c r="E114" s="523">
        <f t="shared" si="13"/>
        <v>1.6560321477107027E-4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2.7497537988975624E-3</v>
      </c>
      <c r="D115" s="523">
        <f t="shared" si="12"/>
        <v>6.9279685546889576E-3</v>
      </c>
      <c r="E115" s="523">
        <f t="shared" si="13"/>
        <v>4.1782147557913952E-3</v>
      </c>
    </row>
    <row r="116" spans="1:5" s="506" customFormat="1" x14ac:dyDescent="0.2">
      <c r="A116" s="512"/>
      <c r="B116" s="516" t="s">
        <v>770</v>
      </c>
      <c r="C116" s="524">
        <f>SUM(C110+C111+C114)</f>
        <v>0.42567542924546647</v>
      </c>
      <c r="D116" s="524">
        <f>SUM(D110+D111+D114)</f>
        <v>0.40702377412668711</v>
      </c>
      <c r="E116" s="525">
        <f t="shared" si="13"/>
        <v>-1.8651655118779364E-2</v>
      </c>
    </row>
    <row r="117" spans="1:5" s="506" customFormat="1" x14ac:dyDescent="0.2">
      <c r="A117" s="512"/>
      <c r="B117" s="516" t="s">
        <v>771</v>
      </c>
      <c r="C117" s="524">
        <f>SUM(C109+C116)</f>
        <v>0.67437607688440737</v>
      </c>
      <c r="D117" s="524">
        <f>SUM(D109+D116)</f>
        <v>0.64647788439913545</v>
      </c>
      <c r="E117" s="525">
        <f t="shared" si="13"/>
        <v>-2.7898192485271922E-2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0.1921004427970367</v>
      </c>
      <c r="D121" s="523">
        <f t="shared" si="14"/>
        <v>0.21619750020118894</v>
      </c>
      <c r="E121" s="523">
        <f t="shared" ref="E121:E129" si="15">D121-C121</f>
        <v>2.4097057404152245E-2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6.3540516677231665E-2</v>
      </c>
      <c r="D122" s="523">
        <f t="shared" si="14"/>
        <v>6.9164629345942322E-2</v>
      </c>
      <c r="E122" s="523">
        <f t="shared" si="15"/>
        <v>5.6241126687106568E-3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6.9494698857639814E-2</v>
      </c>
      <c r="D123" s="523">
        <f t="shared" si="14"/>
        <v>6.7639576467660112E-2</v>
      </c>
      <c r="E123" s="523">
        <f t="shared" si="15"/>
        <v>-1.855122389979702E-3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6.5290175220162783E-2</v>
      </c>
      <c r="D124" s="523">
        <f t="shared" si="14"/>
        <v>6.7639576467660112E-2</v>
      </c>
      <c r="E124" s="523">
        <f t="shared" si="15"/>
        <v>2.3494012474973291E-3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4.2045236374770416E-3</v>
      </c>
      <c r="D125" s="523">
        <f t="shared" si="14"/>
        <v>0</v>
      </c>
      <c r="E125" s="523">
        <f t="shared" si="15"/>
        <v>-4.2045236374770416E-3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4.8826478368441763E-4</v>
      </c>
      <c r="D126" s="523">
        <f t="shared" si="14"/>
        <v>5.2040958607309641E-4</v>
      </c>
      <c r="E126" s="523">
        <f t="shared" si="15"/>
        <v>3.2144802388678784E-5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6.7458703628199054E-3</v>
      </c>
      <c r="D127" s="523">
        <f t="shared" si="14"/>
        <v>6.0701291236124289E-3</v>
      </c>
      <c r="E127" s="523">
        <f t="shared" si="15"/>
        <v>-6.7574123920747641E-4</v>
      </c>
    </row>
    <row r="128" spans="1:5" s="506" customFormat="1" x14ac:dyDescent="0.2">
      <c r="A128" s="512"/>
      <c r="B128" s="516" t="s">
        <v>773</v>
      </c>
      <c r="C128" s="524">
        <f>SUM(C122+C123+C126)</f>
        <v>0.13352348031855588</v>
      </c>
      <c r="D128" s="524">
        <f>SUM(D122+D123+D126)</f>
        <v>0.13732461539967553</v>
      </c>
      <c r="E128" s="525">
        <f t="shared" si="15"/>
        <v>3.8011350811196498E-3</v>
      </c>
    </row>
    <row r="129" spans="1:5" s="506" customFormat="1" x14ac:dyDescent="0.2">
      <c r="A129" s="512"/>
      <c r="B129" s="516" t="s">
        <v>774</v>
      </c>
      <c r="C129" s="524">
        <f>SUM(C121+C128)</f>
        <v>0.32562392311559257</v>
      </c>
      <c r="D129" s="524">
        <f>SUM(D121+D128)</f>
        <v>0.35352211560086444</v>
      </c>
      <c r="E129" s="525">
        <f t="shared" si="15"/>
        <v>2.7898192485271867E-2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0.99999999999999989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6407</v>
      </c>
      <c r="D137" s="530">
        <v>6089</v>
      </c>
      <c r="E137" s="531">
        <f t="shared" ref="E137:E145" si="16">D137-C137</f>
        <v>-318</v>
      </c>
    </row>
    <row r="138" spans="1:5" s="506" customFormat="1" x14ac:dyDescent="0.2">
      <c r="A138" s="512">
        <v>2</v>
      </c>
      <c r="B138" s="511" t="s">
        <v>605</v>
      </c>
      <c r="C138" s="530">
        <v>6937</v>
      </c>
      <c r="D138" s="530">
        <v>6932</v>
      </c>
      <c r="E138" s="531">
        <f t="shared" si="16"/>
        <v>-5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5672</v>
      </c>
      <c r="D139" s="530">
        <f>D140+D141</f>
        <v>6004</v>
      </c>
      <c r="E139" s="531">
        <f t="shared" si="16"/>
        <v>332</v>
      </c>
    </row>
    <row r="140" spans="1:5" s="506" customFormat="1" x14ac:dyDescent="0.2">
      <c r="A140" s="512">
        <v>4</v>
      </c>
      <c r="B140" s="511" t="s">
        <v>114</v>
      </c>
      <c r="C140" s="530">
        <v>5266</v>
      </c>
      <c r="D140" s="530">
        <v>6004</v>
      </c>
      <c r="E140" s="531">
        <f t="shared" si="16"/>
        <v>738</v>
      </c>
    </row>
    <row r="141" spans="1:5" s="506" customFormat="1" x14ac:dyDescent="0.2">
      <c r="A141" s="512">
        <v>5</v>
      </c>
      <c r="B141" s="511" t="s">
        <v>718</v>
      </c>
      <c r="C141" s="530">
        <v>406</v>
      </c>
      <c r="D141" s="530">
        <v>0</v>
      </c>
      <c r="E141" s="531">
        <f t="shared" si="16"/>
        <v>-406</v>
      </c>
    </row>
    <row r="142" spans="1:5" s="506" customFormat="1" x14ac:dyDescent="0.2">
      <c r="A142" s="512">
        <v>6</v>
      </c>
      <c r="B142" s="511" t="s">
        <v>418</v>
      </c>
      <c r="C142" s="530">
        <v>28</v>
      </c>
      <c r="D142" s="530">
        <v>33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733</v>
      </c>
      <c r="C143" s="530">
        <v>311</v>
      </c>
      <c r="D143" s="530">
        <v>262</v>
      </c>
      <c r="E143" s="531">
        <f t="shared" si="16"/>
        <v>-49</v>
      </c>
    </row>
    <row r="144" spans="1:5" s="506" customFormat="1" x14ac:dyDescent="0.2">
      <c r="A144" s="512"/>
      <c r="B144" s="516" t="s">
        <v>781</v>
      </c>
      <c r="C144" s="532">
        <f>SUM(C138+C139+C142)</f>
        <v>12637</v>
      </c>
      <c r="D144" s="532">
        <f>SUM(D138+D139+D142)</f>
        <v>12969</v>
      </c>
      <c r="E144" s="533">
        <f t="shared" si="16"/>
        <v>332</v>
      </c>
    </row>
    <row r="145" spans="1:5" s="506" customFormat="1" x14ac:dyDescent="0.2">
      <c r="A145" s="512"/>
      <c r="B145" s="516" t="s">
        <v>695</v>
      </c>
      <c r="C145" s="532">
        <f>SUM(C137+C144)</f>
        <v>19044</v>
      </c>
      <c r="D145" s="532">
        <f>SUM(D137+D144)</f>
        <v>19058</v>
      </c>
      <c r="E145" s="533">
        <f t="shared" si="16"/>
        <v>14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24833</v>
      </c>
      <c r="D149" s="534">
        <v>25520</v>
      </c>
      <c r="E149" s="531">
        <f t="shared" ref="E149:E157" si="17">D149-C149</f>
        <v>687</v>
      </c>
    </row>
    <row r="150" spans="1:5" s="506" customFormat="1" x14ac:dyDescent="0.2">
      <c r="A150" s="512">
        <v>2</v>
      </c>
      <c r="B150" s="511" t="s">
        <v>605</v>
      </c>
      <c r="C150" s="534">
        <v>52379</v>
      </c>
      <c r="D150" s="534">
        <v>51339</v>
      </c>
      <c r="E150" s="531">
        <f t="shared" si="17"/>
        <v>-1040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27401</v>
      </c>
      <c r="D151" s="534">
        <f>D152+D153</f>
        <v>27110</v>
      </c>
      <c r="E151" s="531">
        <f t="shared" si="17"/>
        <v>-291</v>
      </c>
    </row>
    <row r="152" spans="1:5" s="506" customFormat="1" x14ac:dyDescent="0.2">
      <c r="A152" s="512">
        <v>4</v>
      </c>
      <c r="B152" s="511" t="s">
        <v>114</v>
      </c>
      <c r="C152" s="534">
        <v>25153</v>
      </c>
      <c r="D152" s="534">
        <v>27110</v>
      </c>
      <c r="E152" s="531">
        <f t="shared" si="17"/>
        <v>1957</v>
      </c>
    </row>
    <row r="153" spans="1:5" s="506" customFormat="1" x14ac:dyDescent="0.2">
      <c r="A153" s="512">
        <v>5</v>
      </c>
      <c r="B153" s="511" t="s">
        <v>718</v>
      </c>
      <c r="C153" s="535">
        <v>2248</v>
      </c>
      <c r="D153" s="534">
        <v>0</v>
      </c>
      <c r="E153" s="531">
        <f t="shared" si="17"/>
        <v>-2248</v>
      </c>
    </row>
    <row r="154" spans="1:5" s="506" customFormat="1" x14ac:dyDescent="0.2">
      <c r="A154" s="512">
        <v>6</v>
      </c>
      <c r="B154" s="511" t="s">
        <v>418</v>
      </c>
      <c r="C154" s="534">
        <v>116</v>
      </c>
      <c r="D154" s="534">
        <v>126</v>
      </c>
      <c r="E154" s="531">
        <f t="shared" si="17"/>
        <v>10</v>
      </c>
    </row>
    <row r="155" spans="1:5" s="506" customFormat="1" x14ac:dyDescent="0.2">
      <c r="A155" s="512">
        <v>7</v>
      </c>
      <c r="B155" s="511" t="s">
        <v>733</v>
      </c>
      <c r="C155" s="534">
        <v>1212</v>
      </c>
      <c r="D155" s="534">
        <v>1106</v>
      </c>
      <c r="E155" s="531">
        <f t="shared" si="17"/>
        <v>-106</v>
      </c>
    </row>
    <row r="156" spans="1:5" s="506" customFormat="1" x14ac:dyDescent="0.2">
      <c r="A156" s="512"/>
      <c r="B156" s="516" t="s">
        <v>782</v>
      </c>
      <c r="C156" s="532">
        <f>SUM(C150+C151+C154)</f>
        <v>79896</v>
      </c>
      <c r="D156" s="532">
        <f>SUM(D150+D151+D154)</f>
        <v>78575</v>
      </c>
      <c r="E156" s="533">
        <f t="shared" si="17"/>
        <v>-1321</v>
      </c>
    </row>
    <row r="157" spans="1:5" s="506" customFormat="1" x14ac:dyDescent="0.2">
      <c r="A157" s="512"/>
      <c r="B157" s="516" t="s">
        <v>783</v>
      </c>
      <c r="C157" s="532">
        <f>SUM(C149+C156)</f>
        <v>104729</v>
      </c>
      <c r="D157" s="532">
        <f>SUM(D149+D156)</f>
        <v>104095</v>
      </c>
      <c r="E157" s="533">
        <f t="shared" si="17"/>
        <v>-634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3.8759169658186359</v>
      </c>
      <c r="D161" s="536">
        <f t="shared" si="18"/>
        <v>4.1911643948103139</v>
      </c>
      <c r="E161" s="537">
        <f t="shared" ref="E161:E169" si="19">D161-C161</f>
        <v>0.31524742899167801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7.5506703185815196</v>
      </c>
      <c r="D162" s="536">
        <f t="shared" si="18"/>
        <v>7.4060877091748409</v>
      </c>
      <c r="E162" s="537">
        <f t="shared" si="19"/>
        <v>-0.14458260940667866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4.8309238363892808</v>
      </c>
      <c r="D163" s="536">
        <f t="shared" si="18"/>
        <v>4.515323117921386</v>
      </c>
      <c r="E163" s="537">
        <f t="shared" si="19"/>
        <v>-0.31560071846789484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4.7764906950246866</v>
      </c>
      <c r="D164" s="536">
        <f t="shared" si="18"/>
        <v>4.515323117921386</v>
      </c>
      <c r="E164" s="537">
        <f t="shared" si="19"/>
        <v>-0.26116757710330063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5.5369458128078817</v>
      </c>
      <c r="D165" s="536">
        <f t="shared" si="18"/>
        <v>0</v>
      </c>
      <c r="E165" s="537">
        <f t="shared" si="19"/>
        <v>-5.5369458128078817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4.1428571428571432</v>
      </c>
      <c r="D166" s="536">
        <f t="shared" si="18"/>
        <v>3.8181818181818183</v>
      </c>
      <c r="E166" s="537">
        <f t="shared" si="19"/>
        <v>-0.32467532467532489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3.897106109324759</v>
      </c>
      <c r="D167" s="536">
        <f t="shared" si="18"/>
        <v>4.221374045801527</v>
      </c>
      <c r="E167" s="537">
        <f t="shared" si="19"/>
        <v>0.32426793647676799</v>
      </c>
    </row>
    <row r="168" spans="1:5" s="506" customFormat="1" x14ac:dyDescent="0.2">
      <c r="A168" s="512"/>
      <c r="B168" s="516" t="s">
        <v>785</v>
      </c>
      <c r="C168" s="538">
        <f t="shared" si="18"/>
        <v>6.3223866423993034</v>
      </c>
      <c r="D168" s="538">
        <f t="shared" si="18"/>
        <v>6.0586783869226615</v>
      </c>
      <c r="E168" s="539">
        <f t="shared" si="19"/>
        <v>-0.2637082554766419</v>
      </c>
    </row>
    <row r="169" spans="1:5" s="506" customFormat="1" x14ac:dyDescent="0.2">
      <c r="A169" s="512"/>
      <c r="B169" s="516" t="s">
        <v>719</v>
      </c>
      <c r="C169" s="538">
        <f t="shared" si="18"/>
        <v>5.4993173703003571</v>
      </c>
      <c r="D169" s="538">
        <f t="shared" si="18"/>
        <v>5.4620107041662296</v>
      </c>
      <c r="E169" s="539">
        <f t="shared" si="19"/>
        <v>-3.7306666134127475E-2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1.1827700000000001</v>
      </c>
      <c r="D173" s="541">
        <f t="shared" si="20"/>
        <v>1.2248300000000001</v>
      </c>
      <c r="E173" s="542">
        <f t="shared" ref="E173:E181" si="21">D173-C173</f>
        <v>4.2059999999999986E-2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1.66225</v>
      </c>
      <c r="D174" s="541">
        <f t="shared" si="20"/>
        <v>1.6128899999999997</v>
      </c>
      <c r="E174" s="542">
        <f t="shared" si="21"/>
        <v>-4.9360000000000293E-2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1.0187713117066293</v>
      </c>
      <c r="D175" s="541">
        <f t="shared" si="20"/>
        <v>0.99748999999999988</v>
      </c>
      <c r="E175" s="542">
        <f t="shared" si="21"/>
        <v>-2.1281311706629391E-2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1.0019100000000001</v>
      </c>
      <c r="D176" s="541">
        <f t="shared" si="20"/>
        <v>0.99748999999999988</v>
      </c>
      <c r="E176" s="542">
        <f t="shared" si="21"/>
        <v>-4.4200000000002015E-3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1.2374700000000001</v>
      </c>
      <c r="D177" s="541">
        <f t="shared" si="20"/>
        <v>0</v>
      </c>
      <c r="E177" s="542">
        <f t="shared" si="21"/>
        <v>-1.2374700000000001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1.0464</v>
      </c>
      <c r="D178" s="541">
        <f t="shared" si="20"/>
        <v>0.87963000000000002</v>
      </c>
      <c r="E178" s="542">
        <f t="shared" si="21"/>
        <v>-0.16676999999999997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1.18285</v>
      </c>
      <c r="D179" s="541">
        <f t="shared" si="20"/>
        <v>1.14876</v>
      </c>
      <c r="E179" s="542">
        <f t="shared" si="21"/>
        <v>-3.4089999999999954E-2</v>
      </c>
    </row>
    <row r="180" spans="1:5" s="506" customFormat="1" x14ac:dyDescent="0.2">
      <c r="A180" s="512"/>
      <c r="B180" s="516" t="s">
        <v>787</v>
      </c>
      <c r="C180" s="543">
        <f t="shared" si="20"/>
        <v>1.3720660227902193</v>
      </c>
      <c r="D180" s="543">
        <f t="shared" si="20"/>
        <v>1.3261246996684399</v>
      </c>
      <c r="E180" s="544">
        <f t="shared" si="21"/>
        <v>-4.5941323121779343E-2</v>
      </c>
    </row>
    <row r="181" spans="1:5" s="506" customFormat="1" x14ac:dyDescent="0.2">
      <c r="A181" s="512"/>
      <c r="B181" s="516" t="s">
        <v>696</v>
      </c>
      <c r="C181" s="543">
        <f t="shared" si="20"/>
        <v>1.3083808926696074</v>
      </c>
      <c r="D181" s="543">
        <f t="shared" si="20"/>
        <v>1.2937612078916989</v>
      </c>
      <c r="E181" s="544">
        <f t="shared" si="21"/>
        <v>-1.4619684777908537E-2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349741731</v>
      </c>
      <c r="D185" s="513">
        <v>401607588</v>
      </c>
      <c r="E185" s="514">
        <f>D185-C185</f>
        <v>51865857</v>
      </c>
    </row>
    <row r="186" spans="1:5" s="506" customFormat="1" ht="25.5" x14ac:dyDescent="0.2">
      <c r="A186" s="512">
        <v>2</v>
      </c>
      <c r="B186" s="511" t="s">
        <v>790</v>
      </c>
      <c r="C186" s="513">
        <v>135799425</v>
      </c>
      <c r="D186" s="513">
        <v>113130118</v>
      </c>
      <c r="E186" s="514">
        <f>D186-C186</f>
        <v>-22669307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213942306</v>
      </c>
      <c r="D188" s="546">
        <f>+D185-D186</f>
        <v>288477470</v>
      </c>
      <c r="E188" s="514">
        <f t="shared" ref="E188:E197" si="22">D188-C188</f>
        <v>74535164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0.61171512300886965</v>
      </c>
      <c r="D189" s="547">
        <f>IF(D185=0,0,+D188/D185)</f>
        <v>0.71830682143386193</v>
      </c>
      <c r="E189" s="523">
        <f t="shared" si="22"/>
        <v>0.10659169842499228</v>
      </c>
    </row>
    <row r="190" spans="1:5" s="506" customFormat="1" x14ac:dyDescent="0.2">
      <c r="A190" s="512">
        <v>5</v>
      </c>
      <c r="B190" s="511" t="s">
        <v>737</v>
      </c>
      <c r="C190" s="513">
        <v>1451547</v>
      </c>
      <c r="D190" s="513">
        <v>1626157</v>
      </c>
      <c r="E190" s="546">
        <f t="shared" si="22"/>
        <v>174610</v>
      </c>
    </row>
    <row r="191" spans="1:5" s="506" customFormat="1" x14ac:dyDescent="0.2">
      <c r="A191" s="512">
        <v>6</v>
      </c>
      <c r="B191" s="511" t="s">
        <v>723</v>
      </c>
      <c r="C191" s="513">
        <v>1011938</v>
      </c>
      <c r="D191" s="513">
        <v>1113987</v>
      </c>
      <c r="E191" s="546">
        <f t="shared" si="22"/>
        <v>102049</v>
      </c>
    </row>
    <row r="192" spans="1:5" ht="29.25" x14ac:dyDescent="0.2">
      <c r="A192" s="512">
        <v>7</v>
      </c>
      <c r="B192" s="548" t="s">
        <v>791</v>
      </c>
      <c r="C192" s="513">
        <v>2988794</v>
      </c>
      <c r="D192" s="513">
        <v>0</v>
      </c>
      <c r="E192" s="546">
        <f t="shared" si="22"/>
        <v>-2988794</v>
      </c>
    </row>
    <row r="193" spans="1:5" s="506" customFormat="1" x14ac:dyDescent="0.2">
      <c r="A193" s="512">
        <v>8</v>
      </c>
      <c r="B193" s="511" t="s">
        <v>792</v>
      </c>
      <c r="C193" s="513">
        <v>12024692</v>
      </c>
      <c r="D193" s="513">
        <v>13664086</v>
      </c>
      <c r="E193" s="546">
        <f t="shared" si="22"/>
        <v>1639394</v>
      </c>
    </row>
    <row r="194" spans="1:5" s="506" customFormat="1" x14ac:dyDescent="0.2">
      <c r="A194" s="512">
        <v>9</v>
      </c>
      <c r="B194" s="511" t="s">
        <v>793</v>
      </c>
      <c r="C194" s="513">
        <v>25581567</v>
      </c>
      <c r="D194" s="513">
        <v>28215688</v>
      </c>
      <c r="E194" s="546">
        <f t="shared" si="22"/>
        <v>2634121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37606259</v>
      </c>
      <c r="D195" s="513">
        <f>+D193+D194</f>
        <v>41879774</v>
      </c>
      <c r="E195" s="549">
        <f t="shared" si="22"/>
        <v>4273515</v>
      </c>
    </row>
    <row r="196" spans="1:5" s="506" customFormat="1" x14ac:dyDescent="0.2">
      <c r="A196" s="512">
        <v>11</v>
      </c>
      <c r="B196" s="511" t="s">
        <v>795</v>
      </c>
      <c r="C196" s="513">
        <v>349741731</v>
      </c>
      <c r="D196" s="513">
        <v>401607588</v>
      </c>
      <c r="E196" s="546">
        <f t="shared" si="22"/>
        <v>51865857</v>
      </c>
    </row>
    <row r="197" spans="1:5" s="506" customFormat="1" x14ac:dyDescent="0.2">
      <c r="A197" s="512">
        <v>12</v>
      </c>
      <c r="B197" s="511" t="s">
        <v>680</v>
      </c>
      <c r="C197" s="513">
        <v>350215000</v>
      </c>
      <c r="D197" s="513">
        <v>383278000</v>
      </c>
      <c r="E197" s="546">
        <f t="shared" si="22"/>
        <v>33063000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7578.0073900000007</v>
      </c>
      <c r="D203" s="553">
        <v>7457.9898700000003</v>
      </c>
      <c r="E203" s="554">
        <f t="shared" ref="E203:E211" si="23">D203-C203</f>
        <v>-120.01752000000033</v>
      </c>
    </row>
    <row r="204" spans="1:5" s="506" customFormat="1" x14ac:dyDescent="0.2">
      <c r="A204" s="512">
        <v>2</v>
      </c>
      <c r="B204" s="511" t="s">
        <v>605</v>
      </c>
      <c r="C204" s="553">
        <v>11531.028249999999</v>
      </c>
      <c r="D204" s="553">
        <v>11180.553479999999</v>
      </c>
      <c r="E204" s="554">
        <f t="shared" si="23"/>
        <v>-350.47477000000072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5778.4708800000008</v>
      </c>
      <c r="D205" s="553">
        <f>D206+D207</f>
        <v>5988.9299599999995</v>
      </c>
      <c r="E205" s="554">
        <f t="shared" si="23"/>
        <v>210.45907999999872</v>
      </c>
    </row>
    <row r="206" spans="1:5" s="506" customFormat="1" x14ac:dyDescent="0.2">
      <c r="A206" s="512">
        <v>4</v>
      </c>
      <c r="B206" s="511" t="s">
        <v>114</v>
      </c>
      <c r="C206" s="553">
        <v>5276.0580600000003</v>
      </c>
      <c r="D206" s="553">
        <v>5988.9299599999995</v>
      </c>
      <c r="E206" s="554">
        <f t="shared" si="23"/>
        <v>712.87189999999919</v>
      </c>
    </row>
    <row r="207" spans="1:5" s="506" customFormat="1" x14ac:dyDescent="0.2">
      <c r="A207" s="512">
        <v>5</v>
      </c>
      <c r="B207" s="511" t="s">
        <v>718</v>
      </c>
      <c r="C207" s="553">
        <v>502.41282000000001</v>
      </c>
      <c r="D207" s="553">
        <v>0</v>
      </c>
      <c r="E207" s="554">
        <f t="shared" si="23"/>
        <v>-502.41282000000001</v>
      </c>
    </row>
    <row r="208" spans="1:5" s="506" customFormat="1" x14ac:dyDescent="0.2">
      <c r="A208" s="512">
        <v>6</v>
      </c>
      <c r="B208" s="511" t="s">
        <v>418</v>
      </c>
      <c r="C208" s="553">
        <v>29.299199999999999</v>
      </c>
      <c r="D208" s="553">
        <v>29.02779</v>
      </c>
      <c r="E208" s="554">
        <f t="shared" si="23"/>
        <v>-0.27140999999999948</v>
      </c>
    </row>
    <row r="209" spans="1:5" s="506" customFormat="1" x14ac:dyDescent="0.2">
      <c r="A209" s="512">
        <v>7</v>
      </c>
      <c r="B209" s="511" t="s">
        <v>733</v>
      </c>
      <c r="C209" s="553">
        <v>367.86635000000001</v>
      </c>
      <c r="D209" s="553">
        <v>300.97512</v>
      </c>
      <c r="E209" s="554">
        <f t="shared" si="23"/>
        <v>-66.891230000000007</v>
      </c>
    </row>
    <row r="210" spans="1:5" s="506" customFormat="1" x14ac:dyDescent="0.2">
      <c r="A210" s="512"/>
      <c r="B210" s="516" t="s">
        <v>798</v>
      </c>
      <c r="C210" s="555">
        <f>C204+C205+C208</f>
        <v>17338.798330000001</v>
      </c>
      <c r="D210" s="555">
        <f>D204+D205+D208</f>
        <v>17198.511229999996</v>
      </c>
      <c r="E210" s="556">
        <f t="shared" si="23"/>
        <v>-140.28710000000501</v>
      </c>
    </row>
    <row r="211" spans="1:5" s="506" customFormat="1" x14ac:dyDescent="0.2">
      <c r="A211" s="512"/>
      <c r="B211" s="516" t="s">
        <v>697</v>
      </c>
      <c r="C211" s="555">
        <f>C210+C203</f>
        <v>24916.805720000004</v>
      </c>
      <c r="D211" s="555">
        <f>D210+D203</f>
        <v>24656.501099999998</v>
      </c>
      <c r="E211" s="556">
        <f t="shared" si="23"/>
        <v>-260.30462000000625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6829.9926318794805</v>
      </c>
      <c r="D215" s="557">
        <f>IF(D14*D137=0,0,D25/D14*D137)</f>
        <v>7054.434948145843</v>
      </c>
      <c r="E215" s="557">
        <f t="shared" ref="E215:E223" si="24">D215-C215</f>
        <v>224.44231626636247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2392.9608724642148</v>
      </c>
      <c r="D216" s="557">
        <f>IF(D15*D138=0,0,D26/D15*D138)</f>
        <v>2839.3626271147186</v>
      </c>
      <c r="E216" s="557">
        <f t="shared" si="24"/>
        <v>446.40175465050379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4884.5250748345761</v>
      </c>
      <c r="D217" s="557">
        <f>D218+D219</f>
        <v>5344.9598274061782</v>
      </c>
      <c r="E217" s="557">
        <f t="shared" si="24"/>
        <v>460.43475257160208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4486.440760819929</v>
      </c>
      <c r="D218" s="557">
        <f t="shared" si="25"/>
        <v>5344.9598274061782</v>
      </c>
      <c r="E218" s="557">
        <f t="shared" si="24"/>
        <v>858.51906658624921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398.08431401464748</v>
      </c>
      <c r="D219" s="557">
        <f t="shared" si="25"/>
        <v>0</v>
      </c>
      <c r="E219" s="557">
        <f t="shared" si="24"/>
        <v>-398.08431401464748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24.431618891338903</v>
      </c>
      <c r="D220" s="557">
        <f t="shared" si="25"/>
        <v>42.423859475904266</v>
      </c>
      <c r="E220" s="557">
        <f t="shared" si="24"/>
        <v>17.992240584565362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993.36733340764613</v>
      </c>
      <c r="D221" s="557">
        <f t="shared" si="25"/>
        <v>879.71823542432924</v>
      </c>
      <c r="E221" s="557">
        <f t="shared" si="24"/>
        <v>-113.64909798331689</v>
      </c>
    </row>
    <row r="222" spans="1:5" s="506" customFormat="1" x14ac:dyDescent="0.2">
      <c r="A222" s="512"/>
      <c r="B222" s="516" t="s">
        <v>800</v>
      </c>
      <c r="C222" s="558">
        <f>C216+C218+C219+C220</f>
        <v>7301.9175661901299</v>
      </c>
      <c r="D222" s="558">
        <f>D216+D218+D219+D220</f>
        <v>8226.7463139968004</v>
      </c>
      <c r="E222" s="558">
        <f t="shared" si="24"/>
        <v>924.82874780667044</v>
      </c>
    </row>
    <row r="223" spans="1:5" s="506" customFormat="1" x14ac:dyDescent="0.2">
      <c r="A223" s="512"/>
      <c r="B223" s="516" t="s">
        <v>801</v>
      </c>
      <c r="C223" s="558">
        <f>C215+C222</f>
        <v>14131.91019806961</v>
      </c>
      <c r="D223" s="558">
        <f>D215+D222</f>
        <v>15281.181262142643</v>
      </c>
      <c r="E223" s="558">
        <f t="shared" si="24"/>
        <v>1149.2710640730329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11366.803378110719</v>
      </c>
      <c r="D227" s="560">
        <f t="shared" si="26"/>
        <v>12840.735596225742</v>
      </c>
      <c r="E227" s="560">
        <f t="shared" ref="E227:E235" si="27">D227-C227</f>
        <v>1473.9322181150237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9456.1914719097149</v>
      </c>
      <c r="D228" s="560">
        <f t="shared" si="26"/>
        <v>10436.918906451134</v>
      </c>
      <c r="E228" s="560">
        <f t="shared" si="27"/>
        <v>980.72743454141892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6629.7897481141226</v>
      </c>
      <c r="D229" s="560">
        <f t="shared" si="26"/>
        <v>7669.1361072454429</v>
      </c>
      <c r="E229" s="560">
        <f t="shared" si="27"/>
        <v>1039.3463591313202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6965.5943096274414</v>
      </c>
      <c r="D230" s="560">
        <f t="shared" si="26"/>
        <v>7669.1361072454429</v>
      </c>
      <c r="E230" s="560">
        <f t="shared" si="27"/>
        <v>703.54179761800151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3103.3583100049077</v>
      </c>
      <c r="D231" s="560">
        <f t="shared" si="26"/>
        <v>0</v>
      </c>
      <c r="E231" s="560">
        <f t="shared" si="27"/>
        <v>-3103.3583100049077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2848.4054172127567</v>
      </c>
      <c r="D232" s="560">
        <f t="shared" si="26"/>
        <v>5601.4598424475307</v>
      </c>
      <c r="E232" s="560">
        <f t="shared" si="27"/>
        <v>2753.054425234774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2588.9293761171684</v>
      </c>
      <c r="D233" s="560">
        <f t="shared" si="26"/>
        <v>9205.867249093546</v>
      </c>
      <c r="E233" s="560">
        <f t="shared" si="27"/>
        <v>6616.9378729763775</v>
      </c>
    </row>
    <row r="234" spans="1:5" x14ac:dyDescent="0.2">
      <c r="A234" s="512"/>
      <c r="B234" s="516" t="s">
        <v>803</v>
      </c>
      <c r="C234" s="561">
        <f t="shared" si="26"/>
        <v>8503.0756569160694</v>
      </c>
      <c r="D234" s="561">
        <f t="shared" si="26"/>
        <v>9464.9498914796495</v>
      </c>
      <c r="E234" s="561">
        <f t="shared" si="27"/>
        <v>961.8742345635801</v>
      </c>
    </row>
    <row r="235" spans="1:5" s="506" customFormat="1" x14ac:dyDescent="0.2">
      <c r="A235" s="512"/>
      <c r="B235" s="516" t="s">
        <v>804</v>
      </c>
      <c r="C235" s="561">
        <f t="shared" si="26"/>
        <v>9374.0279803409721</v>
      </c>
      <c r="D235" s="561">
        <f t="shared" si="26"/>
        <v>10486.042685107499</v>
      </c>
      <c r="E235" s="561">
        <f t="shared" si="27"/>
        <v>1112.0147047665268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9741.4720023923492</v>
      </c>
      <c r="D239" s="560">
        <f t="shared" si="28"/>
        <v>12256.820657581664</v>
      </c>
      <c r="E239" s="562">
        <f t="shared" ref="E239:E247" si="29">D239-C239</f>
        <v>2515.3486551893147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9196.6911173676563</v>
      </c>
      <c r="D240" s="560">
        <f t="shared" si="28"/>
        <v>9742.1001234029409</v>
      </c>
      <c r="E240" s="562">
        <f t="shared" si="29"/>
        <v>545.40900603528462</v>
      </c>
    </row>
    <row r="241" spans="1:5" x14ac:dyDescent="0.2">
      <c r="A241" s="512">
        <v>3</v>
      </c>
      <c r="B241" s="511" t="s">
        <v>751</v>
      </c>
      <c r="C241" s="560">
        <f t="shared" si="28"/>
        <v>4927.7173586451827</v>
      </c>
      <c r="D241" s="560">
        <f t="shared" si="28"/>
        <v>5061.1106301106884</v>
      </c>
      <c r="E241" s="562">
        <f t="shared" si="29"/>
        <v>133.39327146550568</v>
      </c>
    </row>
    <row r="242" spans="1:5" x14ac:dyDescent="0.2">
      <c r="A242" s="512">
        <v>4</v>
      </c>
      <c r="B242" s="511" t="s">
        <v>114</v>
      </c>
      <c r="C242" s="560">
        <f t="shared" si="28"/>
        <v>5040.3692382349109</v>
      </c>
      <c r="D242" s="560">
        <f t="shared" si="28"/>
        <v>5061.1106301106884</v>
      </c>
      <c r="E242" s="562">
        <f t="shared" si="29"/>
        <v>20.741391875777481</v>
      </c>
    </row>
    <row r="243" spans="1:5" x14ac:dyDescent="0.2">
      <c r="A243" s="512">
        <v>5</v>
      </c>
      <c r="B243" s="511" t="s">
        <v>718</v>
      </c>
      <c r="C243" s="560">
        <f t="shared" si="28"/>
        <v>3658.1220327772517</v>
      </c>
      <c r="D243" s="560">
        <f t="shared" si="28"/>
        <v>0</v>
      </c>
      <c r="E243" s="562">
        <f t="shared" si="29"/>
        <v>-3658.1220327772517</v>
      </c>
    </row>
    <row r="244" spans="1:5" x14ac:dyDescent="0.2">
      <c r="A244" s="512">
        <v>6</v>
      </c>
      <c r="B244" s="511" t="s">
        <v>418</v>
      </c>
      <c r="C244" s="560">
        <f t="shared" si="28"/>
        <v>6921.8090193749076</v>
      </c>
      <c r="D244" s="560">
        <f t="shared" si="28"/>
        <v>4905.9657129548259</v>
      </c>
      <c r="E244" s="562">
        <f t="shared" si="29"/>
        <v>-2015.8433064200817</v>
      </c>
    </row>
    <row r="245" spans="1:5" x14ac:dyDescent="0.2">
      <c r="A245" s="512">
        <v>7</v>
      </c>
      <c r="B245" s="511" t="s">
        <v>733</v>
      </c>
      <c r="C245" s="560">
        <f t="shared" si="28"/>
        <v>2352.039292438863</v>
      </c>
      <c r="D245" s="560">
        <f t="shared" si="28"/>
        <v>2759.5847195653819</v>
      </c>
      <c r="E245" s="562">
        <f t="shared" si="29"/>
        <v>407.54542712651892</v>
      </c>
    </row>
    <row r="246" spans="1:5" ht="25.5" x14ac:dyDescent="0.2">
      <c r="A246" s="512"/>
      <c r="B246" s="516" t="s">
        <v>806</v>
      </c>
      <c r="C246" s="561">
        <f t="shared" si="28"/>
        <v>6333.4037368665404</v>
      </c>
      <c r="D246" s="561">
        <f t="shared" si="28"/>
        <v>6675.8978463403919</v>
      </c>
      <c r="E246" s="563">
        <f t="shared" si="29"/>
        <v>342.49410947385149</v>
      </c>
    </row>
    <row r="247" spans="1:5" x14ac:dyDescent="0.2">
      <c r="A247" s="512"/>
      <c r="B247" s="516" t="s">
        <v>807</v>
      </c>
      <c r="C247" s="561">
        <f t="shared" si="28"/>
        <v>7980.5328805022791</v>
      </c>
      <c r="D247" s="561">
        <f t="shared" si="28"/>
        <v>9252.2861665326291</v>
      </c>
      <c r="E247" s="563">
        <f t="shared" si="29"/>
        <v>1271.75328603035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18647091.893628832</v>
      </c>
      <c r="D251" s="546">
        <f>((IF((IF(D15=0,0,D26/D15)*D138)=0,0,D59/(IF(D15=0,0,D26/D15)*D138)))-(IF((IF(D17=0,0,D28/D17)*D140)=0,0,D61/(IF(D17=0,0,D28/D17)*D140))))*(IF(D17=0,0,D28/D17)*D140)</f>
        <v>25019700.79415749</v>
      </c>
      <c r="E251" s="546">
        <f>D251-C251</f>
        <v>6372608.9005286582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5396562.2985240165</v>
      </c>
      <c r="D252" s="546">
        <f>IF(D231=0,0,(D228-D231)*D207)+IF(D243=0,0,(D240-D243)*D219)</f>
        <v>0</v>
      </c>
      <c r="E252" s="546">
        <f>D252-C252</f>
        <v>-5396562.2985240165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9325488.1731058471</v>
      </c>
      <c r="D253" s="546">
        <f>IF(D233=0,0,(D228-D233)*D209+IF(D221=0,0,(D240-D245)*D221))</f>
        <v>6513162.0501865735</v>
      </c>
      <c r="E253" s="546">
        <f>D253-C253</f>
        <v>-2812326.1229192736</v>
      </c>
    </row>
    <row r="254" spans="1:5" ht="15" customHeight="1" x14ac:dyDescent="0.2">
      <c r="A254" s="512"/>
      <c r="B254" s="516" t="s">
        <v>734</v>
      </c>
      <c r="C254" s="564">
        <f>+C251+C252+C253</f>
        <v>33369142.365258697</v>
      </c>
      <c r="D254" s="564">
        <f>+D251+D252+D253</f>
        <v>31532862.844344065</v>
      </c>
      <c r="E254" s="564">
        <f>D254-C254</f>
        <v>-1836279.5209146328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1185589696</v>
      </c>
      <c r="D258" s="549">
        <f>+D44</f>
        <v>1300539601</v>
      </c>
      <c r="E258" s="546">
        <f t="shared" ref="E258:E271" si="30">D258-C258</f>
        <v>114949905</v>
      </c>
    </row>
    <row r="259" spans="1:5" x14ac:dyDescent="0.2">
      <c r="A259" s="512">
        <v>2</v>
      </c>
      <c r="B259" s="511" t="s">
        <v>717</v>
      </c>
      <c r="C259" s="546">
        <f>+(C43-C76)</f>
        <v>586704949</v>
      </c>
      <c r="D259" s="549">
        <f>+(D43-D76)</f>
        <v>622199899</v>
      </c>
      <c r="E259" s="546">
        <f t="shared" si="30"/>
        <v>35494950</v>
      </c>
    </row>
    <row r="260" spans="1:5" x14ac:dyDescent="0.2">
      <c r="A260" s="512">
        <v>3</v>
      </c>
      <c r="B260" s="511" t="s">
        <v>721</v>
      </c>
      <c r="C260" s="546">
        <f>C195</f>
        <v>37606259</v>
      </c>
      <c r="D260" s="546">
        <f>D195</f>
        <v>41879774</v>
      </c>
      <c r="E260" s="546">
        <f t="shared" si="30"/>
        <v>4273515</v>
      </c>
    </row>
    <row r="261" spans="1:5" x14ac:dyDescent="0.2">
      <c r="A261" s="512">
        <v>4</v>
      </c>
      <c r="B261" s="511" t="s">
        <v>722</v>
      </c>
      <c r="C261" s="546">
        <f>C188</f>
        <v>213942306</v>
      </c>
      <c r="D261" s="546">
        <f>D188</f>
        <v>288477470</v>
      </c>
      <c r="E261" s="546">
        <f t="shared" si="30"/>
        <v>74535164</v>
      </c>
    </row>
    <row r="262" spans="1:5" x14ac:dyDescent="0.2">
      <c r="A262" s="512">
        <v>5</v>
      </c>
      <c r="B262" s="511" t="s">
        <v>723</v>
      </c>
      <c r="C262" s="546">
        <f>C191</f>
        <v>1011938</v>
      </c>
      <c r="D262" s="546">
        <f>D191</f>
        <v>1113987</v>
      </c>
      <c r="E262" s="546">
        <f t="shared" si="30"/>
        <v>102049</v>
      </c>
    </row>
    <row r="263" spans="1:5" x14ac:dyDescent="0.2">
      <c r="A263" s="512">
        <v>6</v>
      </c>
      <c r="B263" s="511" t="s">
        <v>724</v>
      </c>
      <c r="C263" s="546">
        <f>+C259+C260+C261+C262</f>
        <v>839265452</v>
      </c>
      <c r="D263" s="546">
        <f>+D259+D260+D261+D262</f>
        <v>953671130</v>
      </c>
      <c r="E263" s="546">
        <f t="shared" si="30"/>
        <v>114405678</v>
      </c>
    </row>
    <row r="264" spans="1:5" x14ac:dyDescent="0.2">
      <c r="A264" s="512">
        <v>7</v>
      </c>
      <c r="B264" s="511" t="s">
        <v>624</v>
      </c>
      <c r="C264" s="546">
        <f>+C258-C263</f>
        <v>346324244</v>
      </c>
      <c r="D264" s="546">
        <f>+D258-D263</f>
        <v>346868471</v>
      </c>
      <c r="E264" s="546">
        <f t="shared" si="30"/>
        <v>544227</v>
      </c>
    </row>
    <row r="265" spans="1:5" x14ac:dyDescent="0.2">
      <c r="A265" s="512">
        <v>8</v>
      </c>
      <c r="B265" s="511" t="s">
        <v>810</v>
      </c>
      <c r="C265" s="565">
        <f>C192</f>
        <v>2988794</v>
      </c>
      <c r="D265" s="565">
        <f>D192</f>
        <v>0</v>
      </c>
      <c r="E265" s="546">
        <f t="shared" si="30"/>
        <v>-2988794</v>
      </c>
    </row>
    <row r="266" spans="1:5" x14ac:dyDescent="0.2">
      <c r="A266" s="512">
        <v>9</v>
      </c>
      <c r="B266" s="511" t="s">
        <v>811</v>
      </c>
      <c r="C266" s="546">
        <f>+C264+C265</f>
        <v>349313038</v>
      </c>
      <c r="D266" s="546">
        <f>+D264+D265</f>
        <v>346868471</v>
      </c>
      <c r="E266" s="565">
        <f t="shared" si="30"/>
        <v>-2444567</v>
      </c>
    </row>
    <row r="267" spans="1:5" x14ac:dyDescent="0.2">
      <c r="A267" s="512">
        <v>10</v>
      </c>
      <c r="B267" s="511" t="s">
        <v>812</v>
      </c>
      <c r="C267" s="566">
        <f>IF(C258=0,0,C266/C258)</f>
        <v>0.29463231603524326</v>
      </c>
      <c r="D267" s="566">
        <f>IF(D258=0,0,D266/D258)</f>
        <v>0.26671119490193823</v>
      </c>
      <c r="E267" s="567">
        <f t="shared" si="30"/>
        <v>-2.7921121133305027E-2</v>
      </c>
    </row>
    <row r="268" spans="1:5" x14ac:dyDescent="0.2">
      <c r="A268" s="512">
        <v>11</v>
      </c>
      <c r="B268" s="511" t="s">
        <v>686</v>
      </c>
      <c r="C268" s="546">
        <f>+C260*C267</f>
        <v>11080019.186591212</v>
      </c>
      <c r="D268" s="568">
        <f>+D260*D267</f>
        <v>11169804.565763125</v>
      </c>
      <c r="E268" s="546">
        <f t="shared" si="30"/>
        <v>89785.37917191349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29366092.608358413</v>
      </c>
      <c r="D269" s="568">
        <f>((D17+D18+D28+D29)*D267)-(D50+D51+D61+D62)</f>
        <v>16747991.250096887</v>
      </c>
      <c r="E269" s="546">
        <f t="shared" si="30"/>
        <v>-12618101.358261526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40446111.794949621</v>
      </c>
      <c r="D271" s="546">
        <f>+D268+D269+D270</f>
        <v>27917795.815860011</v>
      </c>
      <c r="E271" s="549">
        <f t="shared" si="30"/>
        <v>-12528315.97908961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0.43919005011090223</v>
      </c>
      <c r="D276" s="547">
        <f t="shared" si="31"/>
        <v>0.4487629251958683</v>
      </c>
      <c r="E276" s="574">
        <f t="shared" ref="E276:E284" si="32">D276-C276</f>
        <v>9.5728750849660704E-3</v>
      </c>
    </row>
    <row r="277" spans="1:5" x14ac:dyDescent="0.2">
      <c r="A277" s="512">
        <v>2</v>
      </c>
      <c r="B277" s="511" t="s">
        <v>605</v>
      </c>
      <c r="C277" s="547">
        <f t="shared" si="31"/>
        <v>0.31367524102607863</v>
      </c>
      <c r="D277" s="547">
        <f t="shared" si="31"/>
        <v>0.32792815170388179</v>
      </c>
      <c r="E277" s="574">
        <f t="shared" si="32"/>
        <v>1.4252910677803154E-2</v>
      </c>
    </row>
    <row r="278" spans="1:5" x14ac:dyDescent="0.2">
      <c r="A278" s="512">
        <v>3</v>
      </c>
      <c r="B278" s="511" t="s">
        <v>751</v>
      </c>
      <c r="C278" s="547">
        <f t="shared" si="31"/>
        <v>0.22927891916266627</v>
      </c>
      <c r="D278" s="547">
        <f t="shared" si="31"/>
        <v>0.25805828736239422</v>
      </c>
      <c r="E278" s="574">
        <f t="shared" si="32"/>
        <v>2.8779368199727956E-2</v>
      </c>
    </row>
    <row r="279" spans="1:5" x14ac:dyDescent="0.2">
      <c r="A279" s="512">
        <v>4</v>
      </c>
      <c r="B279" s="511" t="s">
        <v>114</v>
      </c>
      <c r="C279" s="547">
        <f t="shared" si="31"/>
        <v>0.24187687166669977</v>
      </c>
      <c r="D279" s="547">
        <f t="shared" si="31"/>
        <v>0.25805828736239422</v>
      </c>
      <c r="E279" s="574">
        <f t="shared" si="32"/>
        <v>1.6181415695694451E-2</v>
      </c>
    </row>
    <row r="280" spans="1:5" x14ac:dyDescent="0.2">
      <c r="A280" s="512">
        <v>5</v>
      </c>
      <c r="B280" s="511" t="s">
        <v>718</v>
      </c>
      <c r="C280" s="547">
        <f t="shared" si="31"/>
        <v>0.1029233164136459</v>
      </c>
      <c r="D280" s="547">
        <f t="shared" si="31"/>
        <v>0</v>
      </c>
      <c r="E280" s="574">
        <f t="shared" si="32"/>
        <v>-0.1029233164136459</v>
      </c>
    </row>
    <row r="281" spans="1:5" x14ac:dyDescent="0.2">
      <c r="A281" s="512">
        <v>6</v>
      </c>
      <c r="B281" s="511" t="s">
        <v>418</v>
      </c>
      <c r="C281" s="547">
        <f t="shared" si="31"/>
        <v>0.1069893851597354</v>
      </c>
      <c r="D281" s="547">
        <f t="shared" si="31"/>
        <v>0.19770989303349801</v>
      </c>
      <c r="E281" s="574">
        <f t="shared" si="32"/>
        <v>9.072050787376261E-2</v>
      </c>
    </row>
    <row r="282" spans="1:5" x14ac:dyDescent="0.2">
      <c r="A282" s="512">
        <v>7</v>
      </c>
      <c r="B282" s="511" t="s">
        <v>733</v>
      </c>
      <c r="C282" s="547">
        <f t="shared" si="31"/>
        <v>9.8479736262336331E-2</v>
      </c>
      <c r="D282" s="547">
        <f t="shared" si="31"/>
        <v>0.28069992194160259</v>
      </c>
      <c r="E282" s="574">
        <f t="shared" si="32"/>
        <v>0.18222018567926626</v>
      </c>
    </row>
    <row r="283" spans="1:5" ht="29.25" customHeight="1" x14ac:dyDescent="0.2">
      <c r="A283" s="512"/>
      <c r="B283" s="516" t="s">
        <v>819</v>
      </c>
      <c r="C283" s="575">
        <f t="shared" si="31"/>
        <v>0.2860064644631321</v>
      </c>
      <c r="D283" s="575">
        <f t="shared" si="31"/>
        <v>0.30446832837411941</v>
      </c>
      <c r="E283" s="576">
        <f t="shared" si="32"/>
        <v>1.8461863910987308E-2</v>
      </c>
    </row>
    <row r="284" spans="1:5" x14ac:dyDescent="0.2">
      <c r="A284" s="512"/>
      <c r="B284" s="516" t="s">
        <v>820</v>
      </c>
      <c r="C284" s="575">
        <f t="shared" si="31"/>
        <v>0.32822533374942775</v>
      </c>
      <c r="D284" s="575">
        <f t="shared" si="31"/>
        <v>0.34563216804513075</v>
      </c>
      <c r="E284" s="576">
        <f t="shared" si="32"/>
        <v>1.7406834295703E-2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0.31822803058985</v>
      </c>
      <c r="D287" s="547">
        <f t="shared" si="33"/>
        <v>0.34972693615392403</v>
      </c>
      <c r="E287" s="574">
        <f t="shared" ref="E287:E295" si="34">D287-C287</f>
        <v>3.1498905564074031E-2</v>
      </c>
    </row>
    <row r="288" spans="1:5" x14ac:dyDescent="0.2">
      <c r="A288" s="512">
        <v>2</v>
      </c>
      <c r="B288" s="511" t="s">
        <v>605</v>
      </c>
      <c r="C288" s="547">
        <f t="shared" si="33"/>
        <v>0.18352669415793552</v>
      </c>
      <c r="D288" s="547">
        <f t="shared" si="33"/>
        <v>0.1897816558545363</v>
      </c>
      <c r="E288" s="574">
        <f t="shared" si="34"/>
        <v>6.2549616966007804E-3</v>
      </c>
    </row>
    <row r="289" spans="1:5" x14ac:dyDescent="0.2">
      <c r="A289" s="512">
        <v>3</v>
      </c>
      <c r="B289" s="511" t="s">
        <v>751</v>
      </c>
      <c r="C289" s="547">
        <f t="shared" si="33"/>
        <v>0.166800809684121</v>
      </c>
      <c r="D289" s="547">
        <f t="shared" si="33"/>
        <v>0.17072953022872228</v>
      </c>
      <c r="E289" s="574">
        <f t="shared" si="34"/>
        <v>3.9287205446012774E-3</v>
      </c>
    </row>
    <row r="290" spans="1:5" x14ac:dyDescent="0.2">
      <c r="A290" s="512">
        <v>4</v>
      </c>
      <c r="B290" s="511" t="s">
        <v>114</v>
      </c>
      <c r="C290" s="547">
        <f t="shared" si="33"/>
        <v>0.17469070897589925</v>
      </c>
      <c r="D290" s="547">
        <f t="shared" si="33"/>
        <v>0.17072953022872228</v>
      </c>
      <c r="E290" s="574">
        <f t="shared" si="34"/>
        <v>-3.9611787471769688E-3</v>
      </c>
    </row>
    <row r="291" spans="1:5" x14ac:dyDescent="0.2">
      <c r="A291" s="512">
        <v>5</v>
      </c>
      <c r="B291" s="511" t="s">
        <v>718</v>
      </c>
      <c r="C291" s="547">
        <f t="shared" si="33"/>
        <v>9.8040464486780832E-2</v>
      </c>
      <c r="D291" s="547">
        <f t="shared" si="33"/>
        <v>0</v>
      </c>
      <c r="E291" s="574">
        <f t="shared" si="34"/>
        <v>-9.8040464486780832E-2</v>
      </c>
    </row>
    <row r="292" spans="1:5" x14ac:dyDescent="0.2">
      <c r="A292" s="512">
        <v>6</v>
      </c>
      <c r="B292" s="511" t="s">
        <v>418</v>
      </c>
      <c r="C292" s="547">
        <f t="shared" si="33"/>
        <v>0.24846245390300162</v>
      </c>
      <c r="D292" s="547">
        <f t="shared" si="33"/>
        <v>0.19685735715711228</v>
      </c>
      <c r="E292" s="574">
        <f t="shared" si="34"/>
        <v>-5.1605096745889339E-2</v>
      </c>
    </row>
    <row r="293" spans="1:5" x14ac:dyDescent="0.2">
      <c r="A293" s="512">
        <v>7</v>
      </c>
      <c r="B293" s="511" t="s">
        <v>733</v>
      </c>
      <c r="C293" s="547">
        <f t="shared" si="33"/>
        <v>7.5638267351884489E-2</v>
      </c>
      <c r="D293" s="547">
        <f t="shared" si="33"/>
        <v>7.3247365747015833E-2</v>
      </c>
      <c r="E293" s="574">
        <f t="shared" si="34"/>
        <v>-2.390901604868656E-3</v>
      </c>
    </row>
    <row r="294" spans="1:5" ht="29.25" customHeight="1" x14ac:dyDescent="0.2">
      <c r="A294" s="512"/>
      <c r="B294" s="516" t="s">
        <v>822</v>
      </c>
      <c r="C294" s="575">
        <f t="shared" si="33"/>
        <v>0.17458214850676027</v>
      </c>
      <c r="D294" s="575">
        <f t="shared" si="33"/>
        <v>0.17991700087880386</v>
      </c>
      <c r="E294" s="576">
        <f t="shared" si="34"/>
        <v>5.3348523720435914E-3</v>
      </c>
    </row>
    <row r="295" spans="1:5" x14ac:dyDescent="0.2">
      <c r="A295" s="512"/>
      <c r="B295" s="516" t="s">
        <v>823</v>
      </c>
      <c r="C295" s="575">
        <f t="shared" si="33"/>
        <v>0.23794672622383722</v>
      </c>
      <c r="D295" s="575">
        <f t="shared" si="33"/>
        <v>0.25590546195108627</v>
      </c>
      <c r="E295" s="576">
        <f t="shared" si="34"/>
        <v>1.7958735727249042E-2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346351008</v>
      </c>
      <c r="D301" s="514">
        <f>+D48+D47+D50+D51+D52+D59+D58+D61+D62+D63</f>
        <v>399934985</v>
      </c>
      <c r="E301" s="514">
        <f>D301-C301</f>
        <v>53583977</v>
      </c>
    </row>
    <row r="302" spans="1:5" ht="25.5" x14ac:dyDescent="0.2">
      <c r="A302" s="512">
        <v>2</v>
      </c>
      <c r="B302" s="511" t="s">
        <v>827</v>
      </c>
      <c r="C302" s="546">
        <f>C265</f>
        <v>2988794</v>
      </c>
      <c r="D302" s="546">
        <f>D265</f>
        <v>0</v>
      </c>
      <c r="E302" s="514">
        <f>D302-C302</f>
        <v>-2988794</v>
      </c>
    </row>
    <row r="303" spans="1:5" x14ac:dyDescent="0.2">
      <c r="A303" s="512"/>
      <c r="B303" s="516" t="s">
        <v>828</v>
      </c>
      <c r="C303" s="517">
        <f>+C301+C302</f>
        <v>349339802</v>
      </c>
      <c r="D303" s="517">
        <f>+D301+D302</f>
        <v>399934985</v>
      </c>
      <c r="E303" s="517">
        <f>D303-C303</f>
        <v>50595183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9722198</v>
      </c>
      <c r="D305" s="578">
        <v>9679611</v>
      </c>
      <c r="E305" s="579">
        <f>D305-C305</f>
        <v>-42587</v>
      </c>
    </row>
    <row r="306" spans="1:5" x14ac:dyDescent="0.2">
      <c r="A306" s="512">
        <v>4</v>
      </c>
      <c r="B306" s="516" t="s">
        <v>830</v>
      </c>
      <c r="C306" s="580">
        <f>+C303+C305</f>
        <v>359062000</v>
      </c>
      <c r="D306" s="580">
        <f>+D303+D305</f>
        <v>409614596</v>
      </c>
      <c r="E306" s="580">
        <f>D306-C306</f>
        <v>50552596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359062000</v>
      </c>
      <c r="D308" s="513">
        <v>409615000</v>
      </c>
      <c r="E308" s="514">
        <f>D308-C308</f>
        <v>50553000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0</v>
      </c>
      <c r="D310" s="582">
        <f>D306-D308</f>
        <v>-404</v>
      </c>
      <c r="E310" s="580">
        <f>D310-C310</f>
        <v>-404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1185589696</v>
      </c>
      <c r="D314" s="514">
        <f>+D14+D15+D16+D19+D25+D26+D27+D30</f>
        <v>1300539601</v>
      </c>
      <c r="E314" s="514">
        <f>D314-C314</f>
        <v>114949905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1185589696</v>
      </c>
      <c r="D316" s="581">
        <f>D314+D315</f>
        <v>1300539601</v>
      </c>
      <c r="E316" s="517">
        <f>D316-C316</f>
        <v>114949905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1185590000</v>
      </c>
      <c r="D318" s="513">
        <v>1300540000</v>
      </c>
      <c r="E318" s="514">
        <f>D318-C318</f>
        <v>114950000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-304</v>
      </c>
      <c r="D320" s="581">
        <f>D316-D318</f>
        <v>-399</v>
      </c>
      <c r="E320" s="517">
        <f>D320-C320</f>
        <v>-95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37606259</v>
      </c>
      <c r="D324" s="513">
        <f>+D193+D194</f>
        <v>41879774</v>
      </c>
      <c r="E324" s="514">
        <f>D324-C324</f>
        <v>4273515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37606259</v>
      </c>
      <c r="D326" s="581">
        <f>D324+D325</f>
        <v>41879774</v>
      </c>
      <c r="E326" s="517">
        <f>D326-C326</f>
        <v>4273515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37606259</v>
      </c>
      <c r="D328" s="513">
        <v>41879774</v>
      </c>
      <c r="E328" s="514">
        <f>D328-C328</f>
        <v>4273515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213400151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355841758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177982732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177982732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822407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9870815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534646897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748047048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247235586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145753576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158446128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158446128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1057263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33143267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305256967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552492553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460635737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839903864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1300539601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95766076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116690530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45929919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45929919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162598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2770737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162783047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258549123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86464944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27661355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27051433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27051433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208130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2427657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54920918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141385862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182231020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217703965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399934985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6089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6932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6004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6004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262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12969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19058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1.2248300000000001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1.6128899999999999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0.99748999999999988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0.99748999999999999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0.87963000000000002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1.14876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1.3261246996684399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1.2937612078916991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401607588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113130118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288477470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0.71830682143386193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1626157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1113987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13664086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28215688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41879774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5964831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383278000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399934985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399934985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9679611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409614596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409615000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-404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1300539601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1300539601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1300540000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-399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41879774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41879774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41879774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1806</v>
      </c>
      <c r="D12" s="49">
        <v>1817</v>
      </c>
      <c r="E12" s="49">
        <f>+D12-C12</f>
        <v>11</v>
      </c>
      <c r="F12" s="70">
        <f>IF(C12=0,0,+E12/C12)</f>
        <v>6.090808416389812E-3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1147</v>
      </c>
      <c r="D13" s="49">
        <v>1127</v>
      </c>
      <c r="E13" s="49">
        <f>+D13-C13</f>
        <v>-20</v>
      </c>
      <c r="F13" s="70">
        <f>IF(C13=0,0,+E13/C13)</f>
        <v>-1.7436791630340016E-2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12024692</v>
      </c>
      <c r="D15" s="51">
        <v>13664086</v>
      </c>
      <c r="E15" s="51">
        <f>+D15-C15</f>
        <v>1639394</v>
      </c>
      <c r="F15" s="70">
        <f>IF(C15=0,0,+E15/C15)</f>
        <v>0.13633563337838508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10483.602441150828</v>
      </c>
      <c r="D16" s="27">
        <f>IF(D13=0,0,+D15/+D13)</f>
        <v>12124.299911268856</v>
      </c>
      <c r="E16" s="27">
        <f>+D16-C16</f>
        <v>1640.6974701180279</v>
      </c>
      <c r="F16" s="28">
        <f>IF(C16=0,0,+E16/C16)</f>
        <v>0.15650130566549048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0.31569000000000003</v>
      </c>
      <c r="D18" s="210">
        <v>0.29394799999999999</v>
      </c>
      <c r="E18" s="210">
        <f>+D18-C18</f>
        <v>-2.1742000000000039E-2</v>
      </c>
      <c r="F18" s="70">
        <f>IF(C18=0,0,+E18/C18)</f>
        <v>-6.8871361145427593E-2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3796075.0174800004</v>
      </c>
      <c r="D19" s="27">
        <f>+D15*D18</f>
        <v>4016530.751528</v>
      </c>
      <c r="E19" s="27">
        <f>+D19-C19</f>
        <v>220455.73404799961</v>
      </c>
      <c r="F19" s="28">
        <f>IF(C19=0,0,+E19/C19)</f>
        <v>5.8074651589564132E-2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3309.5684546469051</v>
      </c>
      <c r="D20" s="27">
        <f>IF(D13=0,0,+D19/D13)</f>
        <v>3563.9137103176577</v>
      </c>
      <c r="E20" s="27">
        <f>+D20-C20</f>
        <v>254.34525567075252</v>
      </c>
      <c r="F20" s="28">
        <f>IF(C20=0,0,+E20/C20)</f>
        <v>7.6851486577843992E-2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588008</v>
      </c>
      <c r="D22" s="51">
        <v>660127</v>
      </c>
      <c r="E22" s="51">
        <f>+D22-C22</f>
        <v>72119</v>
      </c>
      <c r="F22" s="70">
        <f>IF(C22=0,0,+E22/C22)</f>
        <v>0.12264969184092733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7254496</v>
      </c>
      <c r="D23" s="49">
        <v>9467956</v>
      </c>
      <c r="E23" s="49">
        <f>+D23-C23</f>
        <v>2213460</v>
      </c>
      <c r="F23" s="70">
        <f>IF(C23=0,0,+E23/C23)</f>
        <v>0.30511561382072577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4182188</v>
      </c>
      <c r="D24" s="49">
        <v>3536003</v>
      </c>
      <c r="E24" s="49">
        <f>+D24-C24</f>
        <v>-646185</v>
      </c>
      <c r="F24" s="70">
        <f>IF(C24=0,0,+E24/C24)</f>
        <v>-0.15450883604467328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12024692</v>
      </c>
      <c r="D25" s="27">
        <f>+D22+D23+D24</f>
        <v>13664086</v>
      </c>
      <c r="E25" s="27">
        <f>+E22+E23+E24</f>
        <v>1639394</v>
      </c>
      <c r="F25" s="28">
        <f>IF(C25=0,0,+E25/C25)</f>
        <v>0.13633563337838508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2532</v>
      </c>
      <c r="D27" s="49">
        <v>2064</v>
      </c>
      <c r="E27" s="49">
        <f>+D27-C27</f>
        <v>-468</v>
      </c>
      <c r="F27" s="70">
        <f>IF(C27=0,0,+E27/C27)</f>
        <v>-0.18483412322274881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379</v>
      </c>
      <c r="D28" s="49">
        <v>359</v>
      </c>
      <c r="E28" s="49">
        <f>+D28-C28</f>
        <v>-20</v>
      </c>
      <c r="F28" s="70">
        <f>IF(C28=0,0,+E28/C28)</f>
        <v>-5.2770448548812667E-2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1413</v>
      </c>
      <c r="D29" s="49">
        <v>1748</v>
      </c>
      <c r="E29" s="49">
        <f>+D29-C29</f>
        <v>335</v>
      </c>
      <c r="F29" s="70">
        <f>IF(C29=0,0,+E29/C29)</f>
        <v>0.23708421797593773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4732</v>
      </c>
      <c r="D30" s="49">
        <v>5324</v>
      </c>
      <c r="E30" s="49">
        <f>+D30-C30</f>
        <v>592</v>
      </c>
      <c r="F30" s="70">
        <f>IF(C30=0,0,+E30/C30)</f>
        <v>0.12510566356720204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1250939</v>
      </c>
      <c r="D33" s="51">
        <v>1363132</v>
      </c>
      <c r="E33" s="51">
        <f>+D33-C33</f>
        <v>112193</v>
      </c>
      <c r="F33" s="70">
        <f>IF(C33=0,0,+E33/C33)</f>
        <v>8.9687027105238543E-2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15433359</v>
      </c>
      <c r="D34" s="49">
        <v>19550878</v>
      </c>
      <c r="E34" s="49">
        <f>+D34-C34</f>
        <v>4117519</v>
      </c>
      <c r="F34" s="70">
        <f>IF(C34=0,0,+E34/C34)</f>
        <v>0.26679344399362448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8897269</v>
      </c>
      <c r="D35" s="49">
        <v>7301678</v>
      </c>
      <c r="E35" s="49">
        <f>+D35-C35</f>
        <v>-1595591</v>
      </c>
      <c r="F35" s="70">
        <f>IF(C35=0,0,+E35/C35)</f>
        <v>-0.1793349172650619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25581567</v>
      </c>
      <c r="D36" s="27">
        <f>+D33+D34+D35</f>
        <v>28215688</v>
      </c>
      <c r="E36" s="27">
        <f>+E33+E34+E35</f>
        <v>2634121</v>
      </c>
      <c r="F36" s="28">
        <f>IF(C36=0,0,+E36/C36)</f>
        <v>0.10296949362015236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12024692</v>
      </c>
      <c r="D39" s="51">
        <f>+D25</f>
        <v>13664086</v>
      </c>
      <c r="E39" s="51">
        <f>+D39-C39</f>
        <v>1639394</v>
      </c>
      <c r="F39" s="70">
        <f>IF(C39=0,0,+E39/C39)</f>
        <v>0.13633563337838508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25581567</v>
      </c>
      <c r="D40" s="49">
        <f>+D36</f>
        <v>28215688</v>
      </c>
      <c r="E40" s="49">
        <f>+D40-C40</f>
        <v>2634121</v>
      </c>
      <c r="F40" s="70">
        <f>IF(C40=0,0,+E40/C40)</f>
        <v>0.10296949362015236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37606259</v>
      </c>
      <c r="D41" s="27">
        <f>+D39+D40</f>
        <v>41879774</v>
      </c>
      <c r="E41" s="27">
        <f>+E39+E40</f>
        <v>4273515</v>
      </c>
      <c r="F41" s="28">
        <f>IF(C41=0,0,+E41/C41)</f>
        <v>0.11363839726785906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1838947</v>
      </c>
      <c r="D43" s="51">
        <f t="shared" si="0"/>
        <v>2023259</v>
      </c>
      <c r="E43" s="51">
        <f>+D43-C43</f>
        <v>184312</v>
      </c>
      <c r="F43" s="70">
        <f>IF(C43=0,0,+E43/C43)</f>
        <v>0.10022692334254331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22687855</v>
      </c>
      <c r="D44" s="49">
        <f t="shared" si="0"/>
        <v>29018834</v>
      </c>
      <c r="E44" s="49">
        <f>+D44-C44</f>
        <v>6330979</v>
      </c>
      <c r="F44" s="70">
        <f>IF(C44=0,0,+E44/C44)</f>
        <v>0.27904704962192328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13079457</v>
      </c>
      <c r="D45" s="49">
        <f t="shared" si="0"/>
        <v>10837681</v>
      </c>
      <c r="E45" s="49">
        <f>+D45-C45</f>
        <v>-2241776</v>
      </c>
      <c r="F45" s="70">
        <f>IF(C45=0,0,+E45/C45)</f>
        <v>-0.17139671776894103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37606259</v>
      </c>
      <c r="D46" s="27">
        <f>+D43+D44+D45</f>
        <v>41879774</v>
      </c>
      <c r="E46" s="27">
        <f>+E43+E44+E45</f>
        <v>4273515</v>
      </c>
      <c r="F46" s="28">
        <f>IF(C46=0,0,+E46/C46)</f>
        <v>0.11363839726785906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349741731</v>
      </c>
      <c r="D15" s="51">
        <v>401607588</v>
      </c>
      <c r="E15" s="51">
        <f>+D15-C15</f>
        <v>51865857</v>
      </c>
      <c r="F15" s="70">
        <f>+E15/C15</f>
        <v>0.1482975933461026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213942306</v>
      </c>
      <c r="D17" s="51">
        <v>288477470</v>
      </c>
      <c r="E17" s="51">
        <f>+D17-C17</f>
        <v>74535164</v>
      </c>
      <c r="F17" s="70">
        <f>+E17/C17</f>
        <v>0.34838908392433615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135799425</v>
      </c>
      <c r="D19" s="27">
        <f>+D15-D17</f>
        <v>113130118</v>
      </c>
      <c r="E19" s="27">
        <f>+D19-C19</f>
        <v>-22669307</v>
      </c>
      <c r="F19" s="28">
        <f>+E19/C19</f>
        <v>-0.16693227530234389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0.61171512300886965</v>
      </c>
      <c r="D21" s="628">
        <f>+D17/D15</f>
        <v>0.71830682143386193</v>
      </c>
      <c r="E21" s="628">
        <f>+D21-C21</f>
        <v>0.10659169842499228</v>
      </c>
      <c r="F21" s="28">
        <f>+E21/C21</f>
        <v>0.17425055293826164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686097894</v>
      </c>
      <c r="D10" s="641">
        <v>711617325</v>
      </c>
      <c r="E10" s="641">
        <v>748047048</v>
      </c>
    </row>
    <row r="11" spans="1:6" ht="26.1" customHeight="1" x14ac:dyDescent="0.25">
      <c r="A11" s="639">
        <v>2</v>
      </c>
      <c r="B11" s="640" t="s">
        <v>907</v>
      </c>
      <c r="C11" s="641">
        <v>419436609</v>
      </c>
      <c r="D11" s="641">
        <v>473972371</v>
      </c>
      <c r="E11" s="641">
        <v>552492553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1105534503</v>
      </c>
      <c r="D12" s="641">
        <f>+D11+D10</f>
        <v>1185589696</v>
      </c>
      <c r="E12" s="641">
        <f>+E11+E10</f>
        <v>1300539601</v>
      </c>
    </row>
    <row r="13" spans="1:6" ht="26.1" customHeight="1" x14ac:dyDescent="0.25">
      <c r="A13" s="639">
        <v>4</v>
      </c>
      <c r="B13" s="640" t="s">
        <v>484</v>
      </c>
      <c r="C13" s="641">
        <v>349484000</v>
      </c>
      <c r="D13" s="641">
        <v>359062000</v>
      </c>
      <c r="E13" s="641">
        <v>409615000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351055000</v>
      </c>
      <c r="D16" s="641">
        <v>350215000</v>
      </c>
      <c r="E16" s="641">
        <v>383278000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103601</v>
      </c>
      <c r="D19" s="644">
        <v>104729</v>
      </c>
      <c r="E19" s="644">
        <v>104095</v>
      </c>
    </row>
    <row r="20" spans="1:5" ht="26.1" customHeight="1" x14ac:dyDescent="0.25">
      <c r="A20" s="639">
        <v>2</v>
      </c>
      <c r="B20" s="640" t="s">
        <v>373</v>
      </c>
      <c r="C20" s="645">
        <v>19808</v>
      </c>
      <c r="D20" s="645">
        <v>19044</v>
      </c>
      <c r="E20" s="645">
        <v>19058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5.2302605008077547</v>
      </c>
      <c r="D21" s="646">
        <f>IF(D20=0,0,+D19/D20)</f>
        <v>5.4993173703003571</v>
      </c>
      <c r="E21" s="646">
        <f>IF(E20=0,0,+E19/E20)</f>
        <v>5.4620107041662296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166936.06123400081</v>
      </c>
      <c r="D22" s="645">
        <f>IF(D10=0,0,D19*(D12/D10))</f>
        <v>174483.69918816129</v>
      </c>
      <c r="E22" s="645">
        <f>IF(E10=0,0,E19*(E12/E10))</f>
        <v>180977.48013049443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31917.351192778911</v>
      </c>
      <c r="D23" s="645">
        <f>IF(D10=0,0,D20*(D12/D10))</f>
        <v>31728.246878508755</v>
      </c>
      <c r="E23" s="645">
        <f>IF(E10=0,0,E20*(E12/E10))</f>
        <v>33133.856730169195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1.2669748980210016</v>
      </c>
      <c r="D26" s="647">
        <v>1.3083808926696074</v>
      </c>
      <c r="E26" s="647">
        <v>1.2937612078916991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131259.86640987379</v>
      </c>
      <c r="D27" s="645">
        <f>D19*D26</f>
        <v>137025.42250839531</v>
      </c>
      <c r="E27" s="645">
        <f>E19*E26</f>
        <v>134674.07293548642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25096.23878</v>
      </c>
      <c r="D28" s="645">
        <f>D20*D26</f>
        <v>24916.805720000004</v>
      </c>
      <c r="E28" s="645">
        <f>E20*E26</f>
        <v>24656.501100000001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211503.79915797585</v>
      </c>
      <c r="D29" s="645">
        <f>D22*D26</f>
        <v>228291.13810010173</v>
      </c>
      <c r="E29" s="645">
        <f>E22*E26</f>
        <v>234141.64329482446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40438.482772571559</v>
      </c>
      <c r="D30" s="645">
        <f>D23*D26</f>
        <v>41512.631973744974</v>
      </c>
      <c r="E30" s="645">
        <f>E23*E26</f>
        <v>42867.298505334198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10671.079458692484</v>
      </c>
      <c r="D33" s="641">
        <f>IF(D19=0,0,D12/D19)</f>
        <v>11320.548234013502</v>
      </c>
      <c r="E33" s="641">
        <f>IF(E19=0,0,E12/E19)</f>
        <v>12493.775887410538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55812.525393780292</v>
      </c>
      <c r="D34" s="641">
        <f>IF(D20=0,0,D12/D20)</f>
        <v>62255.28754463348</v>
      </c>
      <c r="E34" s="641">
        <f>IF(E20=0,0,E12/E20)</f>
        <v>68241.137632490296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6622.5026206310749</v>
      </c>
      <c r="D35" s="641">
        <f>IF(D22=0,0,D12/D22)</f>
        <v>6794.8450285976178</v>
      </c>
      <c r="E35" s="641">
        <f>IF(E22=0,0,E12/E22)</f>
        <v>7186.195763485277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34637.413873182551</v>
      </c>
      <c r="D36" s="641">
        <f>IF(D23=0,0,D12/D23)</f>
        <v>37367.00929426591</v>
      </c>
      <c r="E36" s="641">
        <f>IF(E23=0,0,E12/E23)</f>
        <v>39251.0781823906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5227.0195968170628</v>
      </c>
      <c r="D37" s="641">
        <f>IF(D29=0,0,D12/D29)</f>
        <v>5193.3233408304241</v>
      </c>
      <c r="E37" s="641">
        <f>IF(E29=0,0,E12/E29)</f>
        <v>5554.499330827698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27338.674134180357</v>
      </c>
      <c r="D38" s="641">
        <f>IF(D30=0,0,D12/D30)</f>
        <v>28559.733257815031</v>
      </c>
      <c r="E38" s="641">
        <f>IF(E30=0,0,E12/E30)</f>
        <v>30338.734801265051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4109.9441841883981</v>
      </c>
      <c r="D39" s="641">
        <f>IF(D22=0,0,D10/D22)</f>
        <v>4078.4172292942949</v>
      </c>
      <c r="E39" s="641">
        <f>IF(E22=0,0,E10/E22)</f>
        <v>4133.3708893538478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21496.078727085132</v>
      </c>
      <c r="D40" s="641">
        <f>IF(D23=0,0,D10/D23)</f>
        <v>22428.510712390373</v>
      </c>
      <c r="E40" s="641">
        <f>IF(E23=0,0,E10/E23)</f>
        <v>22576.516041939805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3373.3651219582821</v>
      </c>
      <c r="D43" s="641">
        <f>IF(D19=0,0,D13/D19)</f>
        <v>3428.4868565535812</v>
      </c>
      <c r="E43" s="641">
        <f>IF(E19=0,0,E13/E19)</f>
        <v>3935.0112877659831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17643.578352180935</v>
      </c>
      <c r="D44" s="641">
        <f>IF(D20=0,0,D13/D20)</f>
        <v>18854.337324091579</v>
      </c>
      <c r="E44" s="641">
        <f>IF(E20=0,0,E13/E20)</f>
        <v>21493.073774792738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2093.5201023469376</v>
      </c>
      <c r="D45" s="641">
        <f>IF(D22=0,0,D13/D22)</f>
        <v>2057.8541243144523</v>
      </c>
      <c r="E45" s="641">
        <f>IF(E22=0,0,E13/E22)</f>
        <v>2263.3479022066485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10949.655498952196</v>
      </c>
      <c r="D46" s="641">
        <f>IF(D23=0,0,D13/D23)</f>
        <v>11316.792931386699</v>
      </c>
      <c r="E46" s="641">
        <f>IF(E23=0,0,E13/E23)</f>
        <v>12362.430469104896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1652.3769378675054</v>
      </c>
      <c r="D47" s="641">
        <f>IF(D29=0,0,D13/D29)</f>
        <v>1572.8249593401104</v>
      </c>
      <c r="E47" s="641">
        <f>IF(E29=0,0,E13/E29)</f>
        <v>1749.432498362645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8642.361830574082</v>
      </c>
      <c r="D48" s="641">
        <f>IF(D30=0,0,D13/D30)</f>
        <v>8649.4636193410206</v>
      </c>
      <c r="E48" s="641">
        <f>IF(E30=0,0,E13/E30)</f>
        <v>9555.4190322730392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3388.5290682522368</v>
      </c>
      <c r="D51" s="641">
        <f>IF(D19=0,0,D16/D19)</f>
        <v>3344.0116873072407</v>
      </c>
      <c r="E51" s="641">
        <f>IF(E19=0,0,E16/E19)</f>
        <v>3682.002017387963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17722.889741518578</v>
      </c>
      <c r="D52" s="641">
        <f>IF(D20=0,0,D16/D20)</f>
        <v>18389.781558496114</v>
      </c>
      <c r="E52" s="641">
        <f>IF(E20=0,0,E16/E20)</f>
        <v>20111.134431734703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2102.9308910548243</v>
      </c>
      <c r="D53" s="641">
        <f>IF(D22=0,0,D16/D22)</f>
        <v>2007.1502474413498</v>
      </c>
      <c r="E53" s="641">
        <f>IF(E22=0,0,E16/E22)</f>
        <v>2117.8215086409432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10998.876375412501</v>
      </c>
      <c r="D54" s="641">
        <f>IF(D23=0,0,D16/D23)</f>
        <v>11037.956220556876</v>
      </c>
      <c r="E54" s="641">
        <f>IF(E23=0,0,E16/E23)</f>
        <v>11567.563749710305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1659.8047004242744</v>
      </c>
      <c r="D55" s="641">
        <f>IF(D29=0,0,D16/D29)</f>
        <v>1534.0718124872494</v>
      </c>
      <c r="E55" s="641">
        <f>IF(E29=0,0,E16/E29)</f>
        <v>1636.9493038766593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8681.2109636841287</v>
      </c>
      <c r="D56" s="641">
        <f>IF(D30=0,0,D16/D30)</f>
        <v>8436.3477656992818</v>
      </c>
      <c r="E56" s="641">
        <f>IF(E30=0,0,E16/E30)</f>
        <v>8941.0346199517735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42767886</v>
      </c>
      <c r="D59" s="649">
        <v>48504672</v>
      </c>
      <c r="E59" s="649">
        <v>50710790</v>
      </c>
    </row>
    <row r="60" spans="1:6" ht="26.1" customHeight="1" x14ac:dyDescent="0.25">
      <c r="A60" s="639">
        <v>2</v>
      </c>
      <c r="B60" s="640" t="s">
        <v>943</v>
      </c>
      <c r="C60" s="649">
        <v>10711918</v>
      </c>
      <c r="D60" s="649">
        <v>11454118</v>
      </c>
      <c r="E60" s="649">
        <v>11626907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53479804</v>
      </c>
      <c r="D61" s="652">
        <f>D59+D60</f>
        <v>59958790</v>
      </c>
      <c r="E61" s="652">
        <f>E59+E60</f>
        <v>62337697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8311122</v>
      </c>
      <c r="D64" s="641">
        <v>9466788</v>
      </c>
      <c r="E64" s="649">
        <v>13924825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2452306</v>
      </c>
      <c r="D65" s="649">
        <v>2213435</v>
      </c>
      <c r="E65" s="649">
        <v>955279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10763428</v>
      </c>
      <c r="D66" s="654">
        <f>D64+D65</f>
        <v>11680223</v>
      </c>
      <c r="E66" s="654">
        <f>E64+E65</f>
        <v>14880104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79408992</v>
      </c>
      <c r="D69" s="649">
        <v>70911540</v>
      </c>
      <c r="E69" s="649">
        <v>75549385</v>
      </c>
    </row>
    <row r="70" spans="1:6" ht="26.1" customHeight="1" x14ac:dyDescent="0.25">
      <c r="A70" s="639">
        <v>2</v>
      </c>
      <c r="B70" s="640" t="s">
        <v>951</v>
      </c>
      <c r="C70" s="649">
        <v>25392776</v>
      </c>
      <c r="D70" s="649">
        <v>28140447</v>
      </c>
      <c r="E70" s="649">
        <v>34400814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104801768</v>
      </c>
      <c r="D71" s="652">
        <f>D69+D70</f>
        <v>99051987</v>
      </c>
      <c r="E71" s="652">
        <f>E69+E70</f>
        <v>109950199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130488000</v>
      </c>
      <c r="D75" s="641">
        <f t="shared" si="0"/>
        <v>128883000</v>
      </c>
      <c r="E75" s="641">
        <f t="shared" si="0"/>
        <v>140185000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38557000</v>
      </c>
      <c r="D76" s="641">
        <f t="shared" si="0"/>
        <v>41808000</v>
      </c>
      <c r="E76" s="641">
        <f t="shared" si="0"/>
        <v>46983000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169045000</v>
      </c>
      <c r="D77" s="654">
        <f>D75+D76</f>
        <v>170691000</v>
      </c>
      <c r="E77" s="654">
        <f>E75+E76</f>
        <v>187168000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566.6</v>
      </c>
      <c r="D80" s="646">
        <v>571.6</v>
      </c>
      <c r="E80" s="646">
        <v>580.1</v>
      </c>
    </row>
    <row r="81" spans="1:5" ht="26.1" customHeight="1" x14ac:dyDescent="0.25">
      <c r="A81" s="639">
        <v>2</v>
      </c>
      <c r="B81" s="640" t="s">
        <v>584</v>
      </c>
      <c r="C81" s="646">
        <v>129.69999999999999</v>
      </c>
      <c r="D81" s="646">
        <v>139.80000000000001</v>
      </c>
      <c r="E81" s="646">
        <v>135.9</v>
      </c>
    </row>
    <row r="82" spans="1:5" ht="26.1" customHeight="1" x14ac:dyDescent="0.25">
      <c r="A82" s="639">
        <v>3</v>
      </c>
      <c r="B82" s="640" t="s">
        <v>957</v>
      </c>
      <c r="C82" s="646">
        <v>1343.2</v>
      </c>
      <c r="D82" s="646">
        <v>1304</v>
      </c>
      <c r="E82" s="646">
        <v>1369.9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2039.5</v>
      </c>
      <c r="D83" s="656">
        <f>D80+D81+D82</f>
        <v>2015.4</v>
      </c>
      <c r="E83" s="656">
        <f>E80+E81+E82</f>
        <v>2085.9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75481.620190610658</v>
      </c>
      <c r="D86" s="649">
        <f>IF(D80=0,0,D59/D80)</f>
        <v>84857.718684394684</v>
      </c>
      <c r="E86" s="649">
        <f>IF(E80=0,0,E59/E80)</f>
        <v>87417.32459920703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18905.608895164136</v>
      </c>
      <c r="D87" s="649">
        <f>IF(D80=0,0,D60/D80)</f>
        <v>20038.694891532541</v>
      </c>
      <c r="E87" s="649">
        <f>IF(E80=0,0,E60/E80)</f>
        <v>20042.935700741251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94387.229085774801</v>
      </c>
      <c r="D88" s="652">
        <f>+D86+D87</f>
        <v>104896.41357592723</v>
      </c>
      <c r="E88" s="652">
        <f>+E86+E87</f>
        <v>107460.26029994828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64079.583654587514</v>
      </c>
      <c r="D91" s="641">
        <f>IF(D81=0,0,D64/D81)</f>
        <v>67716.652360515014</v>
      </c>
      <c r="E91" s="641">
        <f>IF(E81=0,0,E64/E81)</f>
        <v>102463.76011773362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18907.525057825755</v>
      </c>
      <c r="D92" s="641">
        <f>IF(D81=0,0,D65/D81)</f>
        <v>15832.868383404862</v>
      </c>
      <c r="E92" s="641">
        <f>IF(E81=0,0,E65/E81)</f>
        <v>7029.2788815305366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82987.108712413261</v>
      </c>
      <c r="D93" s="654">
        <f>+D91+D92</f>
        <v>83549.520743919871</v>
      </c>
      <c r="E93" s="654">
        <f>+E91+E92</f>
        <v>109493.03899926416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59119.261465157833</v>
      </c>
      <c r="D96" s="649">
        <f>IF(D82=0,0,D69/D82)</f>
        <v>54380.015337423312</v>
      </c>
      <c r="E96" s="649">
        <f>IF(E82=0,0,E69/E82)</f>
        <v>55149.562011825677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18904.687313877308</v>
      </c>
      <c r="D97" s="649">
        <f>IF(D82=0,0,D70/D82)</f>
        <v>21580.097392638036</v>
      </c>
      <c r="E97" s="649">
        <f>IF(E82=0,0,E70/E82)</f>
        <v>25111.916198262647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78023.948779035141</v>
      </c>
      <c r="D98" s="654">
        <f>+D96+D97</f>
        <v>75960.112730061344</v>
      </c>
      <c r="E98" s="654">
        <f>+E96+E97</f>
        <v>80261.478210088331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63980.387349840646</v>
      </c>
      <c r="D101" s="641">
        <f>IF(D83=0,0,D75/D83)</f>
        <v>63949.09199166418</v>
      </c>
      <c r="E101" s="641">
        <f>IF(E83=0,0,E75/E83)</f>
        <v>67206.00220528309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18905.123804854131</v>
      </c>
      <c r="D102" s="658">
        <f>IF(D83=0,0,D76/D83)</f>
        <v>20744.269127716583</v>
      </c>
      <c r="E102" s="658">
        <f>IF(E83=0,0,E76/E83)</f>
        <v>22524.090320724867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82885.511154694774</v>
      </c>
      <c r="D103" s="654">
        <f>+D101+D102</f>
        <v>84693.361119380759</v>
      </c>
      <c r="E103" s="654">
        <f>+E101+E102</f>
        <v>89730.092526007953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1631.6927442785302</v>
      </c>
      <c r="D108" s="641">
        <f>IF(D19=0,0,D77/D19)</f>
        <v>1629.8350982058455</v>
      </c>
      <c r="E108" s="641">
        <f>IF(E19=0,0,E77/E19)</f>
        <v>1798.0498583025121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8534.1781098546035</v>
      </c>
      <c r="D109" s="641">
        <f>IF(D20=0,0,D77/D20)</f>
        <v>8962.9804662885945</v>
      </c>
      <c r="E109" s="641">
        <f>IF(E20=0,0,E77/E20)</f>
        <v>9820.9675726728929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1012.6332126828069</v>
      </c>
      <c r="D110" s="641">
        <f>IF(D22=0,0,D77/D22)</f>
        <v>978.26330364493651</v>
      </c>
      <c r="E110" s="641">
        <f>IF(E22=0,0,E77/E22)</f>
        <v>1034.2060231197929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5296.335494100942</v>
      </c>
      <c r="D111" s="641">
        <f>IF(D23=0,0,D77/D23)</f>
        <v>5379.7803784620128</v>
      </c>
      <c r="E111" s="641">
        <f>IF(E23=0,0,E77/E23)</f>
        <v>5648.8443685934972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799.2527825646165</v>
      </c>
      <c r="D112" s="641">
        <f>IF(D29=0,0,D77/D29)</f>
        <v>747.68999541784638</v>
      </c>
      <c r="E112" s="641">
        <f>IF(E29=0,0,E77/E29)</f>
        <v>799.37937295640916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4180.3002588084018</v>
      </c>
      <c r="D113" s="641">
        <f>IF(D30=0,0,D77/D30)</f>
        <v>4111.7845794011573</v>
      </c>
      <c r="E113" s="641">
        <f>IF(E30=0,0,E77/E30)</f>
        <v>4366.2186917775962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FILING&amp;R&amp;12BRIDGEPORT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" zoomScale="75" zoomScaleSheetLayoutView="75" workbookViewId="0">
      <selection activeCell="A2" sqref="A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1185590000</v>
      </c>
      <c r="D12" s="51">
        <v>1300540000</v>
      </c>
      <c r="E12" s="51">
        <f t="shared" ref="E12:E19" si="0">D12-C12</f>
        <v>114950000</v>
      </c>
      <c r="F12" s="70">
        <f t="shared" ref="F12:F19" si="1">IF(C12=0,0,E12/C12)</f>
        <v>9.6955945984699601E-2</v>
      </c>
    </row>
    <row r="13" spans="1:8" ht="23.1" customHeight="1" x14ac:dyDescent="0.2">
      <c r="A13" s="25">
        <v>2</v>
      </c>
      <c r="B13" s="48" t="s">
        <v>72</v>
      </c>
      <c r="C13" s="51">
        <v>802426000</v>
      </c>
      <c r="D13" s="51">
        <v>851787000</v>
      </c>
      <c r="E13" s="51">
        <f t="shared" si="0"/>
        <v>49361000</v>
      </c>
      <c r="F13" s="70">
        <f t="shared" si="1"/>
        <v>6.1514706652077575E-2</v>
      </c>
    </row>
    <row r="14" spans="1:8" ht="23.1" customHeight="1" x14ac:dyDescent="0.2">
      <c r="A14" s="25">
        <v>3</v>
      </c>
      <c r="B14" s="48" t="s">
        <v>73</v>
      </c>
      <c r="C14" s="51">
        <v>24102000</v>
      </c>
      <c r="D14" s="51">
        <v>29578000</v>
      </c>
      <c r="E14" s="51">
        <f t="shared" si="0"/>
        <v>5476000</v>
      </c>
      <c r="F14" s="70">
        <f t="shared" si="1"/>
        <v>0.22720106215251845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9560000</v>
      </c>
      <c r="E15" s="51">
        <f t="shared" si="0"/>
        <v>9560000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359062000</v>
      </c>
      <c r="D16" s="27">
        <f>D12-D13-D14-D15</f>
        <v>409615000</v>
      </c>
      <c r="E16" s="27">
        <f t="shared" si="0"/>
        <v>50553000</v>
      </c>
      <c r="F16" s="28">
        <f t="shared" si="1"/>
        <v>0.14079184096339908</v>
      </c>
    </row>
    <row r="17" spans="1:7" ht="23.1" customHeight="1" x14ac:dyDescent="0.2">
      <c r="A17" s="25">
        <v>5</v>
      </c>
      <c r="B17" s="48" t="s">
        <v>76</v>
      </c>
      <c r="C17" s="51">
        <v>5877000</v>
      </c>
      <c r="D17" s="51">
        <v>5876000</v>
      </c>
      <c r="E17" s="51">
        <f t="shared" si="0"/>
        <v>-1000</v>
      </c>
      <c r="F17" s="70">
        <f t="shared" si="1"/>
        <v>-1.7015484090522376E-4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1077000</v>
      </c>
      <c r="D18" s="51">
        <v>1831000</v>
      </c>
      <c r="E18" s="51">
        <f t="shared" si="0"/>
        <v>754000</v>
      </c>
      <c r="F18" s="70">
        <f t="shared" si="1"/>
        <v>0.70009285051067782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366016000</v>
      </c>
      <c r="D19" s="27">
        <f>SUM(D16:D18)</f>
        <v>417322000</v>
      </c>
      <c r="E19" s="27">
        <f t="shared" si="0"/>
        <v>51306000</v>
      </c>
      <c r="F19" s="28">
        <f t="shared" si="1"/>
        <v>0.14017420003497114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128883000</v>
      </c>
      <c r="D22" s="51">
        <v>140185000</v>
      </c>
      <c r="E22" s="51">
        <f t="shared" ref="E22:E31" si="2">D22-C22</f>
        <v>11302000</v>
      </c>
      <c r="F22" s="70">
        <f t="shared" ref="F22:F31" si="3">IF(C22=0,0,E22/C22)</f>
        <v>8.769193764887534E-2</v>
      </c>
    </row>
    <row r="23" spans="1:7" ht="23.1" customHeight="1" x14ac:dyDescent="0.2">
      <c r="A23" s="25">
        <v>2</v>
      </c>
      <c r="B23" s="48" t="s">
        <v>81</v>
      </c>
      <c r="C23" s="51">
        <v>41808000</v>
      </c>
      <c r="D23" s="51">
        <v>46983000</v>
      </c>
      <c r="E23" s="51">
        <f t="shared" si="2"/>
        <v>5175000</v>
      </c>
      <c r="F23" s="70">
        <f t="shared" si="3"/>
        <v>0.12378013777267509</v>
      </c>
    </row>
    <row r="24" spans="1:7" ht="23.1" customHeight="1" x14ac:dyDescent="0.2">
      <c r="A24" s="25">
        <v>3</v>
      </c>
      <c r="B24" s="48" t="s">
        <v>82</v>
      </c>
      <c r="C24" s="51">
        <v>14462000</v>
      </c>
      <c r="D24" s="51">
        <v>18061000</v>
      </c>
      <c r="E24" s="51">
        <f t="shared" si="2"/>
        <v>3599000</v>
      </c>
      <c r="F24" s="70">
        <f t="shared" si="3"/>
        <v>0.24885907896556492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45672000</v>
      </c>
      <c r="D25" s="51">
        <v>46888000</v>
      </c>
      <c r="E25" s="51">
        <f t="shared" si="2"/>
        <v>1216000</v>
      </c>
      <c r="F25" s="70">
        <f t="shared" si="3"/>
        <v>2.6624627780697144E-2</v>
      </c>
    </row>
    <row r="26" spans="1:7" ht="23.1" customHeight="1" x14ac:dyDescent="0.2">
      <c r="A26" s="25">
        <v>5</v>
      </c>
      <c r="B26" s="48" t="s">
        <v>84</v>
      </c>
      <c r="C26" s="51">
        <v>17768000</v>
      </c>
      <c r="D26" s="51">
        <v>17879000</v>
      </c>
      <c r="E26" s="51">
        <f t="shared" si="2"/>
        <v>111000</v>
      </c>
      <c r="F26" s="70">
        <f t="shared" si="3"/>
        <v>6.2471859522737509E-3</v>
      </c>
    </row>
    <row r="27" spans="1:7" ht="23.1" customHeight="1" x14ac:dyDescent="0.2">
      <c r="A27" s="25">
        <v>6</v>
      </c>
      <c r="B27" s="48" t="s">
        <v>85</v>
      </c>
      <c r="C27" s="51">
        <v>13505000</v>
      </c>
      <c r="D27" s="51">
        <v>12302000</v>
      </c>
      <c r="E27" s="51">
        <f t="shared" si="2"/>
        <v>-1203000</v>
      </c>
      <c r="F27" s="70">
        <f t="shared" si="3"/>
        <v>-8.9078119215105514E-2</v>
      </c>
    </row>
    <row r="28" spans="1:7" ht="23.1" customHeight="1" x14ac:dyDescent="0.2">
      <c r="A28" s="25">
        <v>7</v>
      </c>
      <c r="B28" s="48" t="s">
        <v>86</v>
      </c>
      <c r="C28" s="51">
        <v>3059000</v>
      </c>
      <c r="D28" s="51">
        <v>3110000</v>
      </c>
      <c r="E28" s="51">
        <f t="shared" si="2"/>
        <v>51000</v>
      </c>
      <c r="F28" s="70">
        <f t="shared" si="3"/>
        <v>1.6672115070284408E-2</v>
      </c>
    </row>
    <row r="29" spans="1:7" ht="23.1" customHeight="1" x14ac:dyDescent="0.2">
      <c r="A29" s="25">
        <v>8</v>
      </c>
      <c r="B29" s="48" t="s">
        <v>87</v>
      </c>
      <c r="C29" s="51">
        <v>8342000</v>
      </c>
      <c r="D29" s="51">
        <v>5829000</v>
      </c>
      <c r="E29" s="51">
        <f t="shared" si="2"/>
        <v>-2513000</v>
      </c>
      <c r="F29" s="70">
        <f t="shared" si="3"/>
        <v>-0.3012467034284344</v>
      </c>
    </row>
    <row r="30" spans="1:7" ht="23.1" customHeight="1" x14ac:dyDescent="0.2">
      <c r="A30" s="25">
        <v>9</v>
      </c>
      <c r="B30" s="48" t="s">
        <v>88</v>
      </c>
      <c r="C30" s="51">
        <v>76716000</v>
      </c>
      <c r="D30" s="51">
        <v>92041000</v>
      </c>
      <c r="E30" s="51">
        <f t="shared" si="2"/>
        <v>15325000</v>
      </c>
      <c r="F30" s="70">
        <f t="shared" si="3"/>
        <v>0.1997627613535638</v>
      </c>
    </row>
    <row r="31" spans="1:7" ht="23.1" customHeight="1" x14ac:dyDescent="0.25">
      <c r="A31" s="29"/>
      <c r="B31" s="71" t="s">
        <v>89</v>
      </c>
      <c r="C31" s="27">
        <f>SUM(C22:C30)</f>
        <v>350215000</v>
      </c>
      <c r="D31" s="27">
        <f>SUM(D22:D30)</f>
        <v>383278000</v>
      </c>
      <c r="E31" s="27">
        <f t="shared" si="2"/>
        <v>33063000</v>
      </c>
      <c r="F31" s="28">
        <f t="shared" si="3"/>
        <v>9.4407720971403278E-2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15801000</v>
      </c>
      <c r="D33" s="27">
        <f>+D19-D31</f>
        <v>34044000</v>
      </c>
      <c r="E33" s="27">
        <f>D33-C33</f>
        <v>18243000</v>
      </c>
      <c r="F33" s="28">
        <f>IF(C33=0,0,E33/C33)</f>
        <v>1.1545471805581926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1226000</v>
      </c>
      <c r="D38" s="51">
        <v>379000</v>
      </c>
      <c r="E38" s="51">
        <f>D38-C38</f>
        <v>-847000</v>
      </c>
      <c r="F38" s="70">
        <f>IF(C38=0,0,E38/C38)</f>
        <v>-0.69086460032626429</v>
      </c>
    </row>
    <row r="39" spans="1:6" ht="23.1" customHeight="1" x14ac:dyDescent="0.25">
      <c r="A39" s="20"/>
      <c r="B39" s="71" t="s">
        <v>95</v>
      </c>
      <c r="C39" s="27">
        <f>SUM(C36:C38)</f>
        <v>1226000</v>
      </c>
      <c r="D39" s="27">
        <f>SUM(D36:D38)</f>
        <v>379000</v>
      </c>
      <c r="E39" s="27">
        <f>D39-C39</f>
        <v>-847000</v>
      </c>
      <c r="F39" s="28">
        <f>IF(C39=0,0,E39/C39)</f>
        <v>-0.69086460032626429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17027000</v>
      </c>
      <c r="D41" s="27">
        <f>D33+D39</f>
        <v>34423000</v>
      </c>
      <c r="E41" s="27">
        <f>D41-C41</f>
        <v>17396000</v>
      </c>
      <c r="F41" s="28">
        <f>IF(C41=0,0,E41/C41)</f>
        <v>1.0216714629705761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540000</v>
      </c>
      <c r="D44" s="51">
        <v>-417000</v>
      </c>
      <c r="E44" s="51">
        <f>D44-C44</f>
        <v>-957000</v>
      </c>
      <c r="F44" s="70">
        <f>IF(C44=0,0,E44/C44)</f>
        <v>-1.7722222222222221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540000</v>
      </c>
      <c r="D46" s="27">
        <f>SUM(D44:D45)</f>
        <v>-417000</v>
      </c>
      <c r="E46" s="27">
        <f>D46-C46</f>
        <v>-957000</v>
      </c>
      <c r="F46" s="28">
        <f>IF(C46=0,0,E46/C46)</f>
        <v>-1.7722222222222221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17567000</v>
      </c>
      <c r="D48" s="27">
        <f>D41+D46</f>
        <v>34006000</v>
      </c>
      <c r="E48" s="27">
        <f>D48-C48</f>
        <v>16439000</v>
      </c>
      <c r="F48" s="28">
        <f>IF(C48=0,0,E48/C48)</f>
        <v>0.93578869471167525</v>
      </c>
    </row>
    <row r="49" spans="1:6" ht="23.1" customHeight="1" x14ac:dyDescent="0.2">
      <c r="A49" s="44"/>
      <c r="B49" s="48" t="s">
        <v>102</v>
      </c>
      <c r="C49" s="51">
        <v>2785000</v>
      </c>
      <c r="D49" s="51">
        <v>2945000</v>
      </c>
      <c r="E49" s="51">
        <f>D49-C49</f>
        <v>160000</v>
      </c>
      <c r="F49" s="70">
        <f>IF(C49=0,0,E49/C49)</f>
        <v>5.7450628366247758E-2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14"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244031637</v>
      </c>
      <c r="D14" s="97">
        <v>256830518</v>
      </c>
      <c r="E14" s="97">
        <f t="shared" ref="E14:E25" si="0">D14-C14</f>
        <v>12798881</v>
      </c>
      <c r="F14" s="98">
        <f t="shared" ref="F14:F25" si="1">IF(C14=0,0,E14/C14)</f>
        <v>5.244762997676404E-2</v>
      </c>
    </row>
    <row r="15" spans="1:6" ht="18" customHeight="1" x14ac:dyDescent="0.25">
      <c r="A15" s="99">
        <v>2</v>
      </c>
      <c r="B15" s="100" t="s">
        <v>113</v>
      </c>
      <c r="C15" s="97">
        <v>103587801</v>
      </c>
      <c r="D15" s="97">
        <v>99011240</v>
      </c>
      <c r="E15" s="97">
        <f t="shared" si="0"/>
        <v>-4576561</v>
      </c>
      <c r="F15" s="98">
        <f t="shared" si="1"/>
        <v>-4.4180501524499011E-2</v>
      </c>
    </row>
    <row r="16" spans="1:6" ht="18" customHeight="1" x14ac:dyDescent="0.25">
      <c r="A16" s="99">
        <v>3</v>
      </c>
      <c r="B16" s="100" t="s">
        <v>114</v>
      </c>
      <c r="C16" s="97">
        <v>90725755</v>
      </c>
      <c r="D16" s="97">
        <v>118040849</v>
      </c>
      <c r="E16" s="97">
        <f t="shared" si="0"/>
        <v>27315094</v>
      </c>
      <c r="F16" s="98">
        <f t="shared" si="1"/>
        <v>0.30107320683084976</v>
      </c>
    </row>
    <row r="17" spans="1:6" ht="18" customHeight="1" x14ac:dyDescent="0.25">
      <c r="A17" s="99">
        <v>4</v>
      </c>
      <c r="B17" s="100" t="s">
        <v>115</v>
      </c>
      <c r="C17" s="97">
        <v>61214692</v>
      </c>
      <c r="D17" s="97">
        <v>59941883</v>
      </c>
      <c r="E17" s="97">
        <f t="shared" si="0"/>
        <v>-1272809</v>
      </c>
      <c r="F17" s="98">
        <f t="shared" si="1"/>
        <v>-2.0792541110882336E-2</v>
      </c>
    </row>
    <row r="18" spans="1:6" ht="18" customHeight="1" x14ac:dyDescent="0.25">
      <c r="A18" s="99">
        <v>5</v>
      </c>
      <c r="B18" s="100" t="s">
        <v>116</v>
      </c>
      <c r="C18" s="97">
        <v>780040</v>
      </c>
      <c r="D18" s="97">
        <v>822407</v>
      </c>
      <c r="E18" s="97">
        <f t="shared" si="0"/>
        <v>42367</v>
      </c>
      <c r="F18" s="98">
        <f t="shared" si="1"/>
        <v>5.4313881339418495E-2</v>
      </c>
    </row>
    <row r="19" spans="1:6" ht="18" customHeight="1" x14ac:dyDescent="0.25">
      <c r="A19" s="99">
        <v>6</v>
      </c>
      <c r="B19" s="100" t="s">
        <v>117</v>
      </c>
      <c r="C19" s="97">
        <v>78896744</v>
      </c>
      <c r="D19" s="97">
        <v>85892978</v>
      </c>
      <c r="E19" s="97">
        <f t="shared" si="0"/>
        <v>6996234</v>
      </c>
      <c r="F19" s="98">
        <f t="shared" si="1"/>
        <v>8.8675826723597112E-2</v>
      </c>
    </row>
    <row r="20" spans="1:6" ht="18" customHeight="1" x14ac:dyDescent="0.25">
      <c r="A20" s="99">
        <v>7</v>
      </c>
      <c r="B20" s="100" t="s">
        <v>118</v>
      </c>
      <c r="C20" s="97">
        <v>98728081</v>
      </c>
      <c r="D20" s="97">
        <v>108575086</v>
      </c>
      <c r="E20" s="97">
        <f t="shared" si="0"/>
        <v>9847005</v>
      </c>
      <c r="F20" s="98">
        <f t="shared" si="1"/>
        <v>9.9738644773213009E-2</v>
      </c>
    </row>
    <row r="21" spans="1:6" ht="18" customHeight="1" x14ac:dyDescent="0.25">
      <c r="A21" s="99">
        <v>8</v>
      </c>
      <c r="B21" s="100" t="s">
        <v>119</v>
      </c>
      <c r="C21" s="97">
        <v>8832931</v>
      </c>
      <c r="D21" s="97">
        <v>9061272</v>
      </c>
      <c r="E21" s="97">
        <f t="shared" si="0"/>
        <v>228341</v>
      </c>
      <c r="F21" s="98">
        <f t="shared" si="1"/>
        <v>2.5851101972833253E-2</v>
      </c>
    </row>
    <row r="22" spans="1:6" ht="18" customHeight="1" x14ac:dyDescent="0.25">
      <c r="A22" s="99">
        <v>9</v>
      </c>
      <c r="B22" s="100" t="s">
        <v>120</v>
      </c>
      <c r="C22" s="97">
        <v>9670822</v>
      </c>
      <c r="D22" s="97">
        <v>9870815</v>
      </c>
      <c r="E22" s="97">
        <f t="shared" si="0"/>
        <v>199993</v>
      </c>
      <c r="F22" s="98">
        <f t="shared" si="1"/>
        <v>2.068004146907057E-2</v>
      </c>
    </row>
    <row r="23" spans="1:6" ht="18" customHeight="1" x14ac:dyDescent="0.25">
      <c r="A23" s="99">
        <v>10</v>
      </c>
      <c r="B23" s="100" t="s">
        <v>121</v>
      </c>
      <c r="C23" s="97">
        <v>15148822</v>
      </c>
      <c r="D23" s="97">
        <v>0</v>
      </c>
      <c r="E23" s="97">
        <f t="shared" si="0"/>
        <v>-15148822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711617325</v>
      </c>
      <c r="D25" s="103">
        <f>SUM(D14:D24)</f>
        <v>748047048</v>
      </c>
      <c r="E25" s="103">
        <f t="shared" si="0"/>
        <v>36429723</v>
      </c>
      <c r="F25" s="104">
        <f t="shared" si="1"/>
        <v>5.1192855654547197E-2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82290563</v>
      </c>
      <c r="D27" s="97">
        <v>101413467</v>
      </c>
      <c r="E27" s="97">
        <f t="shared" ref="E27:E38" si="2">D27-C27</f>
        <v>19122904</v>
      </c>
      <c r="F27" s="98">
        <f t="shared" ref="F27:F38" si="3">IF(C27=0,0,E27/C27)</f>
        <v>0.23238270954592935</v>
      </c>
    </row>
    <row r="28" spans="1:6" ht="18" customHeight="1" x14ac:dyDescent="0.25">
      <c r="A28" s="99">
        <v>2</v>
      </c>
      <c r="B28" s="100" t="s">
        <v>113</v>
      </c>
      <c r="C28" s="97">
        <v>37622903</v>
      </c>
      <c r="D28" s="97">
        <v>44340109</v>
      </c>
      <c r="E28" s="97">
        <f t="shared" si="2"/>
        <v>6717206</v>
      </c>
      <c r="F28" s="98">
        <f t="shared" si="3"/>
        <v>0.17854034283319392</v>
      </c>
    </row>
    <row r="29" spans="1:6" ht="18" customHeight="1" x14ac:dyDescent="0.25">
      <c r="A29" s="99">
        <v>3</v>
      </c>
      <c r="B29" s="100" t="s">
        <v>114</v>
      </c>
      <c r="C29" s="97">
        <v>48101663</v>
      </c>
      <c r="D29" s="97">
        <v>67983044</v>
      </c>
      <c r="E29" s="97">
        <f t="shared" si="2"/>
        <v>19881381</v>
      </c>
      <c r="F29" s="98">
        <f t="shared" si="3"/>
        <v>0.41332003427823277</v>
      </c>
    </row>
    <row r="30" spans="1:6" ht="18" customHeight="1" x14ac:dyDescent="0.25">
      <c r="A30" s="99">
        <v>4</v>
      </c>
      <c r="B30" s="100" t="s">
        <v>115</v>
      </c>
      <c r="C30" s="97">
        <v>81346080</v>
      </c>
      <c r="D30" s="97">
        <v>90463084</v>
      </c>
      <c r="E30" s="97">
        <f t="shared" si="2"/>
        <v>9117004</v>
      </c>
      <c r="F30" s="98">
        <f t="shared" si="3"/>
        <v>0.11207674666068727</v>
      </c>
    </row>
    <row r="31" spans="1:6" ht="18" customHeight="1" x14ac:dyDescent="0.25">
      <c r="A31" s="99">
        <v>5</v>
      </c>
      <c r="B31" s="100" t="s">
        <v>116</v>
      </c>
      <c r="C31" s="97">
        <v>680630</v>
      </c>
      <c r="D31" s="97">
        <v>1057263</v>
      </c>
      <c r="E31" s="97">
        <f t="shared" si="2"/>
        <v>376633</v>
      </c>
      <c r="F31" s="98">
        <f t="shared" si="3"/>
        <v>0.55335938762616987</v>
      </c>
    </row>
    <row r="32" spans="1:6" ht="18" customHeight="1" x14ac:dyDescent="0.25">
      <c r="A32" s="99">
        <v>6</v>
      </c>
      <c r="B32" s="100" t="s">
        <v>117</v>
      </c>
      <c r="C32" s="97">
        <v>75891004</v>
      </c>
      <c r="D32" s="97">
        <v>95032127</v>
      </c>
      <c r="E32" s="97">
        <f t="shared" si="2"/>
        <v>19141123</v>
      </c>
      <c r="F32" s="98">
        <f t="shared" si="3"/>
        <v>0.25221860287946646</v>
      </c>
    </row>
    <row r="33" spans="1:6" ht="18" customHeight="1" x14ac:dyDescent="0.25">
      <c r="A33" s="99">
        <v>7</v>
      </c>
      <c r="B33" s="100" t="s">
        <v>118</v>
      </c>
      <c r="C33" s="97">
        <v>97677450</v>
      </c>
      <c r="D33" s="97">
        <v>113733554</v>
      </c>
      <c r="E33" s="97">
        <f t="shared" si="2"/>
        <v>16056104</v>
      </c>
      <c r="F33" s="98">
        <f t="shared" si="3"/>
        <v>0.16437882029066075</v>
      </c>
    </row>
    <row r="34" spans="1:6" ht="18" customHeight="1" x14ac:dyDescent="0.25">
      <c r="A34" s="99">
        <v>8</v>
      </c>
      <c r="B34" s="100" t="s">
        <v>119</v>
      </c>
      <c r="C34" s="97">
        <v>4618967</v>
      </c>
      <c r="D34" s="97">
        <v>5326638</v>
      </c>
      <c r="E34" s="97">
        <f t="shared" si="2"/>
        <v>707671</v>
      </c>
      <c r="F34" s="98">
        <f t="shared" si="3"/>
        <v>0.15320979777513025</v>
      </c>
    </row>
    <row r="35" spans="1:6" ht="18" customHeight="1" x14ac:dyDescent="0.25">
      <c r="A35" s="99">
        <v>9</v>
      </c>
      <c r="B35" s="100" t="s">
        <v>120</v>
      </c>
      <c r="C35" s="97">
        <v>30889642</v>
      </c>
      <c r="D35" s="97">
        <v>33143267</v>
      </c>
      <c r="E35" s="97">
        <f t="shared" si="2"/>
        <v>2253625</v>
      </c>
      <c r="F35" s="98">
        <f t="shared" si="3"/>
        <v>7.2957303940265797E-2</v>
      </c>
    </row>
    <row r="36" spans="1:6" ht="18" customHeight="1" x14ac:dyDescent="0.25">
      <c r="A36" s="99">
        <v>10</v>
      </c>
      <c r="B36" s="100" t="s">
        <v>121</v>
      </c>
      <c r="C36" s="97">
        <v>14853469</v>
      </c>
      <c r="D36" s="97">
        <v>0</v>
      </c>
      <c r="E36" s="97">
        <f t="shared" si="2"/>
        <v>-14853469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473972371</v>
      </c>
      <c r="D38" s="103">
        <f>SUM(D27:D37)</f>
        <v>552492553</v>
      </c>
      <c r="E38" s="103">
        <f t="shared" si="2"/>
        <v>78520182</v>
      </c>
      <c r="F38" s="104">
        <f t="shared" si="3"/>
        <v>0.16566404880169691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326322200</v>
      </c>
      <c r="D41" s="103">
        <f t="shared" si="4"/>
        <v>358243985</v>
      </c>
      <c r="E41" s="107">
        <f t="shared" ref="E41:E52" si="5">D41-C41</f>
        <v>31921785</v>
      </c>
      <c r="F41" s="108">
        <f t="shared" ref="F41:F52" si="6">IF(C41=0,0,E41/C41)</f>
        <v>9.7822903253287699E-2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141210704</v>
      </c>
      <c r="D42" s="103">
        <f t="shared" si="4"/>
        <v>143351349</v>
      </c>
      <c r="E42" s="107">
        <f t="shared" si="5"/>
        <v>2140645</v>
      </c>
      <c r="F42" s="108">
        <f t="shared" si="6"/>
        <v>1.515922617310937E-2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138827418</v>
      </c>
      <c r="D43" s="103">
        <f t="shared" si="4"/>
        <v>186023893</v>
      </c>
      <c r="E43" s="107">
        <f t="shared" si="5"/>
        <v>47196475</v>
      </c>
      <c r="F43" s="108">
        <f t="shared" si="6"/>
        <v>0.33996508528308145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142560772</v>
      </c>
      <c r="D44" s="103">
        <f t="shared" si="4"/>
        <v>150404967</v>
      </c>
      <c r="E44" s="107">
        <f t="shared" si="5"/>
        <v>7844195</v>
      </c>
      <c r="F44" s="108">
        <f t="shared" si="6"/>
        <v>5.5023516567376612E-2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1460670</v>
      </c>
      <c r="D45" s="103">
        <f t="shared" si="4"/>
        <v>1879670</v>
      </c>
      <c r="E45" s="107">
        <f t="shared" si="5"/>
        <v>419000</v>
      </c>
      <c r="F45" s="108">
        <f t="shared" si="6"/>
        <v>0.28685466258634734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154787748</v>
      </c>
      <c r="D46" s="103">
        <f t="shared" si="4"/>
        <v>180925105</v>
      </c>
      <c r="E46" s="107">
        <f t="shared" si="5"/>
        <v>26137357</v>
      </c>
      <c r="F46" s="108">
        <f t="shared" si="6"/>
        <v>0.16885934021082857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196405531</v>
      </c>
      <c r="D47" s="103">
        <f t="shared" si="4"/>
        <v>222308640</v>
      </c>
      <c r="E47" s="107">
        <f t="shared" si="5"/>
        <v>25903109</v>
      </c>
      <c r="F47" s="108">
        <f t="shared" si="6"/>
        <v>0.13188584286865118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13451898</v>
      </c>
      <c r="D48" s="103">
        <f t="shared" si="4"/>
        <v>14387910</v>
      </c>
      <c r="E48" s="107">
        <f t="shared" si="5"/>
        <v>936012</v>
      </c>
      <c r="F48" s="108">
        <f t="shared" si="6"/>
        <v>6.9582151158148836E-2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40560464</v>
      </c>
      <c r="D49" s="103">
        <f t="shared" si="4"/>
        <v>43014082</v>
      </c>
      <c r="E49" s="107">
        <f t="shared" si="5"/>
        <v>2453618</v>
      </c>
      <c r="F49" s="108">
        <f t="shared" si="6"/>
        <v>6.0492848405284516E-2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30002291</v>
      </c>
      <c r="D50" s="103">
        <f t="shared" si="4"/>
        <v>0</v>
      </c>
      <c r="E50" s="107">
        <f t="shared" si="5"/>
        <v>-30002291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1185589696</v>
      </c>
      <c r="D52" s="112">
        <f>SUM(D41:D51)</f>
        <v>1300539601</v>
      </c>
      <c r="E52" s="111">
        <f t="shared" si="5"/>
        <v>114949905</v>
      </c>
      <c r="F52" s="113">
        <f t="shared" si="6"/>
        <v>9.6955890716513116E-2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78311274</v>
      </c>
      <c r="D57" s="97">
        <v>88033718</v>
      </c>
      <c r="E57" s="97">
        <f t="shared" ref="E57:E68" si="7">D57-C57</f>
        <v>9722444</v>
      </c>
      <c r="F57" s="98">
        <f t="shared" ref="F57:F68" si="8">IF(C57=0,0,E57/C57)</f>
        <v>0.12415126843677705</v>
      </c>
    </row>
    <row r="58" spans="1:6" ht="18" customHeight="1" x14ac:dyDescent="0.25">
      <c r="A58" s="99">
        <v>2</v>
      </c>
      <c r="B58" s="100" t="s">
        <v>113</v>
      </c>
      <c r="C58" s="97">
        <v>30728337</v>
      </c>
      <c r="D58" s="97">
        <v>28656812</v>
      </c>
      <c r="E58" s="97">
        <f t="shared" si="7"/>
        <v>-2071525</v>
      </c>
      <c r="F58" s="98">
        <f t="shared" si="8"/>
        <v>-6.7414159119642561E-2</v>
      </c>
    </row>
    <row r="59" spans="1:6" ht="18" customHeight="1" x14ac:dyDescent="0.25">
      <c r="A59" s="99">
        <v>3</v>
      </c>
      <c r="B59" s="100" t="s">
        <v>114</v>
      </c>
      <c r="C59" s="97">
        <v>23730071</v>
      </c>
      <c r="D59" s="97">
        <v>33310439</v>
      </c>
      <c r="E59" s="97">
        <f t="shared" si="7"/>
        <v>9580368</v>
      </c>
      <c r="F59" s="98">
        <f t="shared" si="8"/>
        <v>0.40372268586975574</v>
      </c>
    </row>
    <row r="60" spans="1:6" ht="18" customHeight="1" x14ac:dyDescent="0.25">
      <c r="A60" s="99">
        <v>4</v>
      </c>
      <c r="B60" s="100" t="s">
        <v>115</v>
      </c>
      <c r="C60" s="97">
        <v>13020809</v>
      </c>
      <c r="D60" s="97">
        <v>12619480</v>
      </c>
      <c r="E60" s="97">
        <f t="shared" si="7"/>
        <v>-401329</v>
      </c>
      <c r="F60" s="98">
        <f t="shared" si="8"/>
        <v>-3.0822124800386826E-2</v>
      </c>
    </row>
    <row r="61" spans="1:6" ht="18" customHeight="1" x14ac:dyDescent="0.25">
      <c r="A61" s="99">
        <v>5</v>
      </c>
      <c r="B61" s="100" t="s">
        <v>116</v>
      </c>
      <c r="C61" s="97">
        <v>83456</v>
      </c>
      <c r="D61" s="97">
        <v>162598</v>
      </c>
      <c r="E61" s="97">
        <f t="shared" si="7"/>
        <v>79142</v>
      </c>
      <c r="F61" s="98">
        <f t="shared" si="8"/>
        <v>0.94830809049079756</v>
      </c>
    </row>
    <row r="62" spans="1:6" ht="18" customHeight="1" x14ac:dyDescent="0.25">
      <c r="A62" s="99">
        <v>6</v>
      </c>
      <c r="B62" s="100" t="s">
        <v>117</v>
      </c>
      <c r="C62" s="97">
        <v>34200650</v>
      </c>
      <c r="D62" s="97">
        <v>38441097</v>
      </c>
      <c r="E62" s="97">
        <f t="shared" si="7"/>
        <v>4240447</v>
      </c>
      <c r="F62" s="98">
        <f t="shared" si="8"/>
        <v>0.12398732187838535</v>
      </c>
    </row>
    <row r="63" spans="1:6" ht="18" customHeight="1" x14ac:dyDescent="0.25">
      <c r="A63" s="99">
        <v>7</v>
      </c>
      <c r="B63" s="100" t="s">
        <v>118</v>
      </c>
      <c r="C63" s="97">
        <v>42146897</v>
      </c>
      <c r="D63" s="97">
        <v>45583877</v>
      </c>
      <c r="E63" s="97">
        <f t="shared" si="7"/>
        <v>3436980</v>
      </c>
      <c r="F63" s="98">
        <f t="shared" si="8"/>
        <v>8.1547640387381312E-2</v>
      </c>
    </row>
    <row r="64" spans="1:6" ht="18" customHeight="1" x14ac:dyDescent="0.25">
      <c r="A64" s="99">
        <v>8</v>
      </c>
      <c r="B64" s="100" t="s">
        <v>119</v>
      </c>
      <c r="C64" s="97">
        <v>8837793</v>
      </c>
      <c r="D64" s="97">
        <v>8970365</v>
      </c>
      <c r="E64" s="97">
        <f t="shared" si="7"/>
        <v>132572</v>
      </c>
      <c r="F64" s="98">
        <f t="shared" si="8"/>
        <v>1.5000577632899978E-2</v>
      </c>
    </row>
    <row r="65" spans="1:6" ht="18" customHeight="1" x14ac:dyDescent="0.25">
      <c r="A65" s="99">
        <v>9</v>
      </c>
      <c r="B65" s="100" t="s">
        <v>120</v>
      </c>
      <c r="C65" s="97">
        <v>952380</v>
      </c>
      <c r="D65" s="97">
        <v>2770737</v>
      </c>
      <c r="E65" s="97">
        <f t="shared" si="7"/>
        <v>1818357</v>
      </c>
      <c r="F65" s="98">
        <f t="shared" si="8"/>
        <v>1.9092767592767592</v>
      </c>
    </row>
    <row r="66" spans="1:6" ht="18" customHeight="1" x14ac:dyDescent="0.25">
      <c r="A66" s="99">
        <v>10</v>
      </c>
      <c r="B66" s="100" t="s">
        <v>121</v>
      </c>
      <c r="C66" s="97">
        <v>1559167</v>
      </c>
      <c r="D66" s="97">
        <v>0</v>
      </c>
      <c r="E66" s="97">
        <f t="shared" si="7"/>
        <v>-1559167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233570834</v>
      </c>
      <c r="D68" s="103">
        <f>SUM(D57:D67)</f>
        <v>258549123</v>
      </c>
      <c r="E68" s="103">
        <f t="shared" si="7"/>
        <v>24978289</v>
      </c>
      <c r="F68" s="104">
        <f t="shared" si="8"/>
        <v>0.10694095907539551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13964942</v>
      </c>
      <c r="D70" s="97">
        <v>17621583</v>
      </c>
      <c r="E70" s="97">
        <f t="shared" ref="E70:E81" si="9">D70-C70</f>
        <v>3656641</v>
      </c>
      <c r="F70" s="98">
        <f t="shared" ref="F70:F81" si="10">IF(C70=0,0,E70/C70)</f>
        <v>0.26184433848704852</v>
      </c>
    </row>
    <row r="71" spans="1:6" ht="18" customHeight="1" x14ac:dyDescent="0.25">
      <c r="A71" s="99">
        <v>2</v>
      </c>
      <c r="B71" s="100" t="s">
        <v>113</v>
      </c>
      <c r="C71" s="97">
        <v>8042380</v>
      </c>
      <c r="D71" s="97">
        <v>10039772</v>
      </c>
      <c r="E71" s="97">
        <f t="shared" si="9"/>
        <v>1997392</v>
      </c>
      <c r="F71" s="98">
        <f t="shared" si="10"/>
        <v>0.24835832179031581</v>
      </c>
    </row>
    <row r="72" spans="1:6" ht="18" customHeight="1" x14ac:dyDescent="0.25">
      <c r="A72" s="99">
        <v>3</v>
      </c>
      <c r="B72" s="100" t="s">
        <v>114</v>
      </c>
      <c r="C72" s="97">
        <v>8223627</v>
      </c>
      <c r="D72" s="97">
        <v>10188015</v>
      </c>
      <c r="E72" s="97">
        <f t="shared" si="9"/>
        <v>1964388</v>
      </c>
      <c r="F72" s="98">
        <f t="shared" si="10"/>
        <v>0.23887124257946038</v>
      </c>
    </row>
    <row r="73" spans="1:6" ht="18" customHeight="1" x14ac:dyDescent="0.25">
      <c r="A73" s="99">
        <v>4</v>
      </c>
      <c r="B73" s="100" t="s">
        <v>115</v>
      </c>
      <c r="C73" s="97">
        <v>14389691</v>
      </c>
      <c r="D73" s="97">
        <v>16863418</v>
      </c>
      <c r="E73" s="97">
        <f t="shared" si="9"/>
        <v>2473727</v>
      </c>
      <c r="F73" s="98">
        <f t="shared" si="10"/>
        <v>0.17190966783094924</v>
      </c>
    </row>
    <row r="74" spans="1:6" ht="18" customHeight="1" x14ac:dyDescent="0.25">
      <c r="A74" s="99">
        <v>5</v>
      </c>
      <c r="B74" s="100" t="s">
        <v>116</v>
      </c>
      <c r="C74" s="97">
        <v>169111</v>
      </c>
      <c r="D74" s="97">
        <v>208130</v>
      </c>
      <c r="E74" s="97">
        <f t="shared" si="9"/>
        <v>39019</v>
      </c>
      <c r="F74" s="98">
        <f t="shared" si="10"/>
        <v>0.23073011217484374</v>
      </c>
    </row>
    <row r="75" spans="1:6" ht="18" customHeight="1" x14ac:dyDescent="0.25">
      <c r="A75" s="99">
        <v>6</v>
      </c>
      <c r="B75" s="100" t="s">
        <v>117</v>
      </c>
      <c r="C75" s="97">
        <v>27749054</v>
      </c>
      <c r="D75" s="97">
        <v>36262117</v>
      </c>
      <c r="E75" s="97">
        <f t="shared" si="9"/>
        <v>8513063</v>
      </c>
      <c r="F75" s="98">
        <f t="shared" si="10"/>
        <v>0.30678750345867645</v>
      </c>
    </row>
    <row r="76" spans="1:6" ht="18" customHeight="1" x14ac:dyDescent="0.25">
      <c r="A76" s="99">
        <v>7</v>
      </c>
      <c r="B76" s="100" t="s">
        <v>118</v>
      </c>
      <c r="C76" s="97">
        <v>31825158</v>
      </c>
      <c r="D76" s="97">
        <v>42502347</v>
      </c>
      <c r="E76" s="97">
        <f t="shared" si="9"/>
        <v>10677189</v>
      </c>
      <c r="F76" s="98">
        <f t="shared" si="10"/>
        <v>0.33549523933235459</v>
      </c>
    </row>
    <row r="77" spans="1:6" ht="18" customHeight="1" x14ac:dyDescent="0.25">
      <c r="A77" s="99">
        <v>8</v>
      </c>
      <c r="B77" s="100" t="s">
        <v>119</v>
      </c>
      <c r="C77" s="97">
        <v>4623531</v>
      </c>
      <c r="D77" s="97">
        <v>5272823</v>
      </c>
      <c r="E77" s="97">
        <f t="shared" si="9"/>
        <v>649292</v>
      </c>
      <c r="F77" s="98">
        <f t="shared" si="10"/>
        <v>0.14043206371926564</v>
      </c>
    </row>
    <row r="78" spans="1:6" ht="18" customHeight="1" x14ac:dyDescent="0.25">
      <c r="A78" s="99">
        <v>9</v>
      </c>
      <c r="B78" s="100" t="s">
        <v>120</v>
      </c>
      <c r="C78" s="97">
        <v>2336439</v>
      </c>
      <c r="D78" s="97">
        <v>2427657</v>
      </c>
      <c r="E78" s="97">
        <f t="shared" si="9"/>
        <v>91218</v>
      </c>
      <c r="F78" s="98">
        <f t="shared" si="10"/>
        <v>3.9041464382335682E-2</v>
      </c>
    </row>
    <row r="79" spans="1:6" ht="18" customHeight="1" x14ac:dyDescent="0.25">
      <c r="A79" s="99">
        <v>10</v>
      </c>
      <c r="B79" s="100" t="s">
        <v>121</v>
      </c>
      <c r="C79" s="97">
        <v>1456241</v>
      </c>
      <c r="D79" s="97">
        <v>0</v>
      </c>
      <c r="E79" s="97">
        <f t="shared" si="9"/>
        <v>-1456241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112780174</v>
      </c>
      <c r="D81" s="103">
        <f>SUM(D70:D80)</f>
        <v>141385862</v>
      </c>
      <c r="E81" s="103">
        <f t="shared" si="9"/>
        <v>28605688</v>
      </c>
      <c r="F81" s="104">
        <f t="shared" si="10"/>
        <v>0.25364110539499612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92276216</v>
      </c>
      <c r="D84" s="103">
        <f t="shared" si="11"/>
        <v>105655301</v>
      </c>
      <c r="E84" s="103">
        <f t="shared" ref="E84:E95" si="12">D84-C84</f>
        <v>13379085</v>
      </c>
      <c r="F84" s="104">
        <f t="shared" ref="F84:F95" si="13">IF(C84=0,0,E84/C84)</f>
        <v>0.14498952796243833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38770717</v>
      </c>
      <c r="D85" s="103">
        <f t="shared" si="11"/>
        <v>38696584</v>
      </c>
      <c r="E85" s="103">
        <f t="shared" si="12"/>
        <v>-74133</v>
      </c>
      <c r="F85" s="104">
        <f t="shared" si="13"/>
        <v>-1.9120874138076941E-3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31953698</v>
      </c>
      <c r="D86" s="103">
        <f t="shared" si="11"/>
        <v>43498454</v>
      </c>
      <c r="E86" s="103">
        <f t="shared" si="12"/>
        <v>11544756</v>
      </c>
      <c r="F86" s="104">
        <f t="shared" si="13"/>
        <v>0.36129639830732579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27410500</v>
      </c>
      <c r="D87" s="103">
        <f t="shared" si="11"/>
        <v>29482898</v>
      </c>
      <c r="E87" s="103">
        <f t="shared" si="12"/>
        <v>2072398</v>
      </c>
      <c r="F87" s="104">
        <f t="shared" si="13"/>
        <v>7.5605990405136714E-2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252567</v>
      </c>
      <c r="D88" s="103">
        <f t="shared" si="11"/>
        <v>370728</v>
      </c>
      <c r="E88" s="103">
        <f t="shared" si="12"/>
        <v>118161</v>
      </c>
      <c r="F88" s="104">
        <f t="shared" si="13"/>
        <v>0.46784021665538256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61949704</v>
      </c>
      <c r="D89" s="103">
        <f t="shared" si="11"/>
        <v>74703214</v>
      </c>
      <c r="E89" s="103">
        <f t="shared" si="12"/>
        <v>12753510</v>
      </c>
      <c r="F89" s="104">
        <f t="shared" si="13"/>
        <v>0.20586878026083869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73972055</v>
      </c>
      <c r="D90" s="103">
        <f t="shared" si="11"/>
        <v>88086224</v>
      </c>
      <c r="E90" s="103">
        <f t="shared" si="12"/>
        <v>14114169</v>
      </c>
      <c r="F90" s="104">
        <f t="shared" si="13"/>
        <v>0.19080406783345413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13461324</v>
      </c>
      <c r="D91" s="103">
        <f t="shared" si="11"/>
        <v>14243188</v>
      </c>
      <c r="E91" s="103">
        <f t="shared" si="12"/>
        <v>781864</v>
      </c>
      <c r="F91" s="104">
        <f t="shared" si="13"/>
        <v>5.8082251047519545E-2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3288819</v>
      </c>
      <c r="D92" s="103">
        <f t="shared" si="11"/>
        <v>5198394</v>
      </c>
      <c r="E92" s="103">
        <f t="shared" si="12"/>
        <v>1909575</v>
      </c>
      <c r="F92" s="104">
        <f t="shared" si="13"/>
        <v>0.58062635858039013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3015408</v>
      </c>
      <c r="D93" s="103">
        <f t="shared" si="11"/>
        <v>0</v>
      </c>
      <c r="E93" s="103">
        <f t="shared" si="12"/>
        <v>-3015408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346351008</v>
      </c>
      <c r="D95" s="112">
        <f>SUM(D84:D94)</f>
        <v>399934985</v>
      </c>
      <c r="E95" s="112">
        <f t="shared" si="12"/>
        <v>53583977</v>
      </c>
      <c r="F95" s="113">
        <f t="shared" si="13"/>
        <v>0.15471003624161533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4868</v>
      </c>
      <c r="D100" s="117">
        <v>4903</v>
      </c>
      <c r="E100" s="117">
        <f t="shared" ref="E100:E111" si="14">D100-C100</f>
        <v>35</v>
      </c>
      <c r="F100" s="98">
        <f t="shared" ref="F100:F111" si="15">IF(C100=0,0,E100/C100)</f>
        <v>7.1898110106820047E-3</v>
      </c>
    </row>
    <row r="101" spans="1:6" ht="18" customHeight="1" x14ac:dyDescent="0.25">
      <c r="A101" s="99">
        <v>2</v>
      </c>
      <c r="B101" s="100" t="s">
        <v>113</v>
      </c>
      <c r="C101" s="117">
        <v>2069</v>
      </c>
      <c r="D101" s="117">
        <v>2029</v>
      </c>
      <c r="E101" s="117">
        <f t="shared" si="14"/>
        <v>-40</v>
      </c>
      <c r="F101" s="98">
        <f t="shared" si="15"/>
        <v>-1.9333011116481391E-2</v>
      </c>
    </row>
    <row r="102" spans="1:6" ht="18" customHeight="1" x14ac:dyDescent="0.25">
      <c r="A102" s="99">
        <v>3</v>
      </c>
      <c r="B102" s="100" t="s">
        <v>114</v>
      </c>
      <c r="C102" s="117">
        <v>2370</v>
      </c>
      <c r="D102" s="117">
        <v>3097</v>
      </c>
      <c r="E102" s="117">
        <f t="shared" si="14"/>
        <v>727</v>
      </c>
      <c r="F102" s="98">
        <f t="shared" si="15"/>
        <v>0.30675105485232068</v>
      </c>
    </row>
    <row r="103" spans="1:6" ht="18" customHeight="1" x14ac:dyDescent="0.25">
      <c r="A103" s="99">
        <v>4</v>
      </c>
      <c r="B103" s="100" t="s">
        <v>115</v>
      </c>
      <c r="C103" s="117">
        <v>2896</v>
      </c>
      <c r="D103" s="117">
        <v>2907</v>
      </c>
      <c r="E103" s="117">
        <f t="shared" si="14"/>
        <v>11</v>
      </c>
      <c r="F103" s="98">
        <f t="shared" si="15"/>
        <v>3.7983425414364639E-3</v>
      </c>
    </row>
    <row r="104" spans="1:6" ht="18" customHeight="1" x14ac:dyDescent="0.25">
      <c r="A104" s="99">
        <v>5</v>
      </c>
      <c r="B104" s="100" t="s">
        <v>116</v>
      </c>
      <c r="C104" s="117">
        <v>28</v>
      </c>
      <c r="D104" s="117">
        <v>33</v>
      </c>
      <c r="E104" s="117">
        <f t="shared" si="14"/>
        <v>5</v>
      </c>
      <c r="F104" s="98">
        <f t="shared" si="15"/>
        <v>0.17857142857142858</v>
      </c>
    </row>
    <row r="105" spans="1:6" ht="18" customHeight="1" x14ac:dyDescent="0.25">
      <c r="A105" s="99">
        <v>6</v>
      </c>
      <c r="B105" s="100" t="s">
        <v>117</v>
      </c>
      <c r="C105" s="117">
        <v>2624</v>
      </c>
      <c r="D105" s="117">
        <v>2538</v>
      </c>
      <c r="E105" s="117">
        <f t="shared" si="14"/>
        <v>-86</v>
      </c>
      <c r="F105" s="98">
        <f t="shared" si="15"/>
        <v>-3.277439024390244E-2</v>
      </c>
    </row>
    <row r="106" spans="1:6" ht="18" customHeight="1" x14ac:dyDescent="0.25">
      <c r="A106" s="99">
        <v>7</v>
      </c>
      <c r="B106" s="100" t="s">
        <v>118</v>
      </c>
      <c r="C106" s="117">
        <v>3305</v>
      </c>
      <c r="D106" s="117">
        <v>3136</v>
      </c>
      <c r="E106" s="117">
        <f t="shared" si="14"/>
        <v>-169</v>
      </c>
      <c r="F106" s="98">
        <f t="shared" si="15"/>
        <v>-5.113464447806354E-2</v>
      </c>
    </row>
    <row r="107" spans="1:6" ht="18" customHeight="1" x14ac:dyDescent="0.25">
      <c r="A107" s="99">
        <v>8</v>
      </c>
      <c r="B107" s="100" t="s">
        <v>119</v>
      </c>
      <c r="C107" s="117">
        <v>167</v>
      </c>
      <c r="D107" s="117">
        <v>153</v>
      </c>
      <c r="E107" s="117">
        <f t="shared" si="14"/>
        <v>-14</v>
      </c>
      <c r="F107" s="98">
        <f t="shared" si="15"/>
        <v>-8.3832335329341312E-2</v>
      </c>
    </row>
    <row r="108" spans="1:6" ht="18" customHeight="1" x14ac:dyDescent="0.25">
      <c r="A108" s="99">
        <v>9</v>
      </c>
      <c r="B108" s="100" t="s">
        <v>120</v>
      </c>
      <c r="C108" s="117">
        <v>311</v>
      </c>
      <c r="D108" s="117">
        <v>262</v>
      </c>
      <c r="E108" s="117">
        <f t="shared" si="14"/>
        <v>-49</v>
      </c>
      <c r="F108" s="98">
        <f t="shared" si="15"/>
        <v>-0.15755627009646303</v>
      </c>
    </row>
    <row r="109" spans="1:6" ht="18" customHeight="1" x14ac:dyDescent="0.25">
      <c r="A109" s="99">
        <v>10</v>
      </c>
      <c r="B109" s="100" t="s">
        <v>121</v>
      </c>
      <c r="C109" s="117">
        <v>406</v>
      </c>
      <c r="D109" s="117">
        <v>0</v>
      </c>
      <c r="E109" s="117">
        <f t="shared" si="14"/>
        <v>-406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19044</v>
      </c>
      <c r="D111" s="118">
        <f>SUM(D100:D110)</f>
        <v>19058</v>
      </c>
      <c r="E111" s="118">
        <f t="shared" si="14"/>
        <v>14</v>
      </c>
      <c r="F111" s="104">
        <f t="shared" si="15"/>
        <v>7.3513967653854231E-4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37857</v>
      </c>
      <c r="D113" s="117">
        <v>37718</v>
      </c>
      <c r="E113" s="117">
        <f t="shared" ref="E113:E124" si="16">D113-C113</f>
        <v>-139</v>
      </c>
      <c r="F113" s="98">
        <f t="shared" ref="F113:F124" si="17">IF(C113=0,0,E113/C113)</f>
        <v>-3.6717119687244104E-3</v>
      </c>
    </row>
    <row r="114" spans="1:6" ht="18" customHeight="1" x14ac:dyDescent="0.25">
      <c r="A114" s="99">
        <v>2</v>
      </c>
      <c r="B114" s="100" t="s">
        <v>113</v>
      </c>
      <c r="C114" s="117">
        <v>14522</v>
      </c>
      <c r="D114" s="117">
        <v>13621</v>
      </c>
      <c r="E114" s="117">
        <f t="shared" si="16"/>
        <v>-901</v>
      </c>
      <c r="F114" s="98">
        <f t="shared" si="17"/>
        <v>-6.2043795620437957E-2</v>
      </c>
    </row>
    <row r="115" spans="1:6" ht="18" customHeight="1" x14ac:dyDescent="0.25">
      <c r="A115" s="99">
        <v>3</v>
      </c>
      <c r="B115" s="100" t="s">
        <v>114</v>
      </c>
      <c r="C115" s="117">
        <v>15060</v>
      </c>
      <c r="D115" s="117">
        <v>17984</v>
      </c>
      <c r="E115" s="117">
        <f t="shared" si="16"/>
        <v>2924</v>
      </c>
      <c r="F115" s="98">
        <f t="shared" si="17"/>
        <v>0.19415670650730413</v>
      </c>
    </row>
    <row r="116" spans="1:6" ht="18" customHeight="1" x14ac:dyDescent="0.25">
      <c r="A116" s="99">
        <v>4</v>
      </c>
      <c r="B116" s="100" t="s">
        <v>115</v>
      </c>
      <c r="C116" s="117">
        <v>10093</v>
      </c>
      <c r="D116" s="117">
        <v>9126</v>
      </c>
      <c r="E116" s="117">
        <f t="shared" si="16"/>
        <v>-967</v>
      </c>
      <c r="F116" s="98">
        <f t="shared" si="17"/>
        <v>-9.580897651837908E-2</v>
      </c>
    </row>
    <row r="117" spans="1:6" ht="18" customHeight="1" x14ac:dyDescent="0.25">
      <c r="A117" s="99">
        <v>5</v>
      </c>
      <c r="B117" s="100" t="s">
        <v>116</v>
      </c>
      <c r="C117" s="117">
        <v>116</v>
      </c>
      <c r="D117" s="117">
        <v>126</v>
      </c>
      <c r="E117" s="117">
        <f t="shared" si="16"/>
        <v>10</v>
      </c>
      <c r="F117" s="98">
        <f t="shared" si="17"/>
        <v>8.6206896551724144E-2</v>
      </c>
    </row>
    <row r="118" spans="1:6" ht="18" customHeight="1" x14ac:dyDescent="0.25">
      <c r="A118" s="99">
        <v>6</v>
      </c>
      <c r="B118" s="100" t="s">
        <v>117</v>
      </c>
      <c r="C118" s="117">
        <v>10212</v>
      </c>
      <c r="D118" s="117">
        <v>10601</v>
      </c>
      <c r="E118" s="117">
        <f t="shared" si="16"/>
        <v>389</v>
      </c>
      <c r="F118" s="98">
        <f t="shared" si="17"/>
        <v>3.8092440266353313E-2</v>
      </c>
    </row>
    <row r="119" spans="1:6" ht="18" customHeight="1" x14ac:dyDescent="0.25">
      <c r="A119" s="99">
        <v>7</v>
      </c>
      <c r="B119" s="100" t="s">
        <v>118</v>
      </c>
      <c r="C119" s="117">
        <v>12773</v>
      </c>
      <c r="D119" s="117">
        <v>13129</v>
      </c>
      <c r="E119" s="117">
        <f t="shared" si="16"/>
        <v>356</v>
      </c>
      <c r="F119" s="98">
        <f t="shared" si="17"/>
        <v>2.7871291004462537E-2</v>
      </c>
    </row>
    <row r="120" spans="1:6" ht="18" customHeight="1" x14ac:dyDescent="0.25">
      <c r="A120" s="99">
        <v>8</v>
      </c>
      <c r="B120" s="100" t="s">
        <v>119</v>
      </c>
      <c r="C120" s="117">
        <v>636</v>
      </c>
      <c r="D120" s="117">
        <v>684</v>
      </c>
      <c r="E120" s="117">
        <f t="shared" si="16"/>
        <v>48</v>
      </c>
      <c r="F120" s="98">
        <f t="shared" si="17"/>
        <v>7.5471698113207544E-2</v>
      </c>
    </row>
    <row r="121" spans="1:6" ht="18" customHeight="1" x14ac:dyDescent="0.25">
      <c r="A121" s="99">
        <v>9</v>
      </c>
      <c r="B121" s="100" t="s">
        <v>120</v>
      </c>
      <c r="C121" s="117">
        <v>1212</v>
      </c>
      <c r="D121" s="117">
        <v>1106</v>
      </c>
      <c r="E121" s="117">
        <f t="shared" si="16"/>
        <v>-106</v>
      </c>
      <c r="F121" s="98">
        <f t="shared" si="17"/>
        <v>-8.7458745874587462E-2</v>
      </c>
    </row>
    <row r="122" spans="1:6" ht="18" customHeight="1" x14ac:dyDescent="0.25">
      <c r="A122" s="99">
        <v>10</v>
      </c>
      <c r="B122" s="100" t="s">
        <v>121</v>
      </c>
      <c r="C122" s="117">
        <v>2248</v>
      </c>
      <c r="D122" s="117">
        <v>0</v>
      </c>
      <c r="E122" s="117">
        <f t="shared" si="16"/>
        <v>-2248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104729</v>
      </c>
      <c r="D124" s="118">
        <f>SUM(D113:D123)</f>
        <v>104095</v>
      </c>
      <c r="E124" s="118">
        <f t="shared" si="16"/>
        <v>-634</v>
      </c>
      <c r="F124" s="104">
        <f t="shared" si="17"/>
        <v>-6.0537196001107622E-3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24459</v>
      </c>
      <c r="D126" s="117">
        <v>29971</v>
      </c>
      <c r="E126" s="117">
        <f t="shared" ref="E126:E137" si="18">D126-C126</f>
        <v>5512</v>
      </c>
      <c r="F126" s="98">
        <f t="shared" ref="F126:F137" si="19">IF(C126=0,0,E126/C126)</f>
        <v>0.22535671940798888</v>
      </c>
    </row>
    <row r="127" spans="1:6" ht="18" customHeight="1" x14ac:dyDescent="0.25">
      <c r="A127" s="99">
        <v>2</v>
      </c>
      <c r="B127" s="100" t="s">
        <v>113</v>
      </c>
      <c r="C127" s="117">
        <v>9862</v>
      </c>
      <c r="D127" s="117">
        <v>11973</v>
      </c>
      <c r="E127" s="117">
        <f t="shared" si="18"/>
        <v>2111</v>
      </c>
      <c r="F127" s="98">
        <f t="shared" si="19"/>
        <v>0.21405394443317785</v>
      </c>
    </row>
    <row r="128" spans="1:6" ht="18" customHeight="1" x14ac:dyDescent="0.25">
      <c r="A128" s="99">
        <v>3</v>
      </c>
      <c r="B128" s="100" t="s">
        <v>114</v>
      </c>
      <c r="C128" s="117">
        <v>22793</v>
      </c>
      <c r="D128" s="117">
        <v>32218</v>
      </c>
      <c r="E128" s="117">
        <f t="shared" si="18"/>
        <v>9425</v>
      </c>
      <c r="F128" s="98">
        <f t="shared" si="19"/>
        <v>0.41350414600973984</v>
      </c>
    </row>
    <row r="129" spans="1:6" ht="18" customHeight="1" x14ac:dyDescent="0.25">
      <c r="A129" s="99">
        <v>4</v>
      </c>
      <c r="B129" s="100" t="s">
        <v>115</v>
      </c>
      <c r="C129" s="117">
        <v>50374</v>
      </c>
      <c r="D129" s="117">
        <v>53160</v>
      </c>
      <c r="E129" s="117">
        <f t="shared" si="18"/>
        <v>2786</v>
      </c>
      <c r="F129" s="98">
        <f t="shared" si="19"/>
        <v>5.530630881010045E-2</v>
      </c>
    </row>
    <row r="130" spans="1:6" ht="18" customHeight="1" x14ac:dyDescent="0.25">
      <c r="A130" s="99">
        <v>5</v>
      </c>
      <c r="B130" s="100" t="s">
        <v>116</v>
      </c>
      <c r="C130" s="117">
        <v>374</v>
      </c>
      <c r="D130" s="117">
        <v>470</v>
      </c>
      <c r="E130" s="117">
        <f t="shared" si="18"/>
        <v>96</v>
      </c>
      <c r="F130" s="98">
        <f t="shared" si="19"/>
        <v>0.25668449197860965</v>
      </c>
    </row>
    <row r="131" spans="1:6" ht="18" customHeight="1" x14ac:dyDescent="0.25">
      <c r="A131" s="99">
        <v>6</v>
      </c>
      <c r="B131" s="100" t="s">
        <v>117</v>
      </c>
      <c r="C131" s="117">
        <v>29209</v>
      </c>
      <c r="D131" s="117">
        <v>35557</v>
      </c>
      <c r="E131" s="117">
        <f t="shared" si="18"/>
        <v>6348</v>
      </c>
      <c r="F131" s="98">
        <f t="shared" si="19"/>
        <v>0.21733027491526585</v>
      </c>
    </row>
    <row r="132" spans="1:6" ht="18" customHeight="1" x14ac:dyDescent="0.25">
      <c r="A132" s="99">
        <v>7</v>
      </c>
      <c r="B132" s="100" t="s">
        <v>118</v>
      </c>
      <c r="C132" s="117">
        <v>34404</v>
      </c>
      <c r="D132" s="117">
        <v>38887</v>
      </c>
      <c r="E132" s="117">
        <f t="shared" si="18"/>
        <v>4483</v>
      </c>
      <c r="F132" s="98">
        <f t="shared" si="19"/>
        <v>0.13030461574235555</v>
      </c>
    </row>
    <row r="133" spans="1:6" ht="18" customHeight="1" x14ac:dyDescent="0.25">
      <c r="A133" s="99">
        <v>8</v>
      </c>
      <c r="B133" s="100" t="s">
        <v>119</v>
      </c>
      <c r="C133" s="117">
        <v>1553</v>
      </c>
      <c r="D133" s="117">
        <v>1602</v>
      </c>
      <c r="E133" s="117">
        <f t="shared" si="18"/>
        <v>49</v>
      </c>
      <c r="F133" s="98">
        <f t="shared" si="19"/>
        <v>3.1551835157759174E-2</v>
      </c>
    </row>
    <row r="134" spans="1:6" ht="18" customHeight="1" x14ac:dyDescent="0.25">
      <c r="A134" s="99">
        <v>9</v>
      </c>
      <c r="B134" s="100" t="s">
        <v>120</v>
      </c>
      <c r="C134" s="117">
        <v>15803</v>
      </c>
      <c r="D134" s="117">
        <v>15389</v>
      </c>
      <c r="E134" s="117">
        <f t="shared" si="18"/>
        <v>-414</v>
      </c>
      <c r="F134" s="98">
        <f t="shared" si="19"/>
        <v>-2.6197557425805228E-2</v>
      </c>
    </row>
    <row r="135" spans="1:6" ht="18" customHeight="1" x14ac:dyDescent="0.25">
      <c r="A135" s="99">
        <v>10</v>
      </c>
      <c r="B135" s="100" t="s">
        <v>121</v>
      </c>
      <c r="C135" s="117">
        <v>7396</v>
      </c>
      <c r="D135" s="117">
        <v>0</v>
      </c>
      <c r="E135" s="117">
        <f t="shared" si="18"/>
        <v>-7396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196227</v>
      </c>
      <c r="D137" s="118">
        <f>SUM(D126:D136)</f>
        <v>219227</v>
      </c>
      <c r="E137" s="118">
        <f t="shared" si="18"/>
        <v>23000</v>
      </c>
      <c r="F137" s="104">
        <f t="shared" si="19"/>
        <v>0.11721118908203254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17789653</v>
      </c>
      <c r="D142" s="97">
        <v>17179648</v>
      </c>
      <c r="E142" s="97">
        <f t="shared" ref="E142:E153" si="20">D142-C142</f>
        <v>-610005</v>
      </c>
      <c r="F142" s="98">
        <f t="shared" ref="F142:F153" si="21">IF(C142=0,0,E142/C142)</f>
        <v>-3.4289876255596444E-2</v>
      </c>
    </row>
    <row r="143" spans="1:6" ht="18" customHeight="1" x14ac:dyDescent="0.25">
      <c r="A143" s="99">
        <v>2</v>
      </c>
      <c r="B143" s="100" t="s">
        <v>113</v>
      </c>
      <c r="C143" s="97">
        <v>6719722</v>
      </c>
      <c r="D143" s="97">
        <v>7485613</v>
      </c>
      <c r="E143" s="97">
        <f t="shared" si="20"/>
        <v>765891</v>
      </c>
      <c r="F143" s="98">
        <f t="shared" si="21"/>
        <v>0.11397659010298343</v>
      </c>
    </row>
    <row r="144" spans="1:6" ht="18" customHeight="1" x14ac:dyDescent="0.25">
      <c r="A144" s="99">
        <v>3</v>
      </c>
      <c r="B144" s="100" t="s">
        <v>114</v>
      </c>
      <c r="C144" s="97">
        <v>18838089</v>
      </c>
      <c r="D144" s="97">
        <v>30562757</v>
      </c>
      <c r="E144" s="97">
        <f t="shared" si="20"/>
        <v>11724668</v>
      </c>
      <c r="F144" s="98">
        <f t="shared" si="21"/>
        <v>0.62239158122673699</v>
      </c>
    </row>
    <row r="145" spans="1:6" ht="18" customHeight="1" x14ac:dyDescent="0.25">
      <c r="A145" s="99">
        <v>4</v>
      </c>
      <c r="B145" s="100" t="s">
        <v>115</v>
      </c>
      <c r="C145" s="97">
        <v>34626028</v>
      </c>
      <c r="D145" s="97">
        <v>39474865</v>
      </c>
      <c r="E145" s="97">
        <f t="shared" si="20"/>
        <v>4848837</v>
      </c>
      <c r="F145" s="98">
        <f t="shared" si="21"/>
        <v>0.14003445616112828</v>
      </c>
    </row>
    <row r="146" spans="1:6" ht="18" customHeight="1" x14ac:dyDescent="0.25">
      <c r="A146" s="99">
        <v>5</v>
      </c>
      <c r="B146" s="100" t="s">
        <v>116</v>
      </c>
      <c r="C146" s="97">
        <v>284135</v>
      </c>
      <c r="D146" s="97">
        <v>365808</v>
      </c>
      <c r="E146" s="97">
        <f t="shared" si="20"/>
        <v>81673</v>
      </c>
      <c r="F146" s="98">
        <f t="shared" si="21"/>
        <v>0.28744434863709151</v>
      </c>
    </row>
    <row r="147" spans="1:6" ht="18" customHeight="1" x14ac:dyDescent="0.25">
      <c r="A147" s="99">
        <v>6</v>
      </c>
      <c r="B147" s="100" t="s">
        <v>117</v>
      </c>
      <c r="C147" s="97">
        <v>17002207</v>
      </c>
      <c r="D147" s="97">
        <v>19508899</v>
      </c>
      <c r="E147" s="97">
        <f t="shared" si="20"/>
        <v>2506692</v>
      </c>
      <c r="F147" s="98">
        <f t="shared" si="21"/>
        <v>0.14743333027294633</v>
      </c>
    </row>
    <row r="148" spans="1:6" ht="18" customHeight="1" x14ac:dyDescent="0.25">
      <c r="A148" s="99">
        <v>7</v>
      </c>
      <c r="B148" s="100" t="s">
        <v>118</v>
      </c>
      <c r="C148" s="97">
        <v>20912229</v>
      </c>
      <c r="D148" s="97">
        <v>20378042</v>
      </c>
      <c r="E148" s="97">
        <f t="shared" si="20"/>
        <v>-534187</v>
      </c>
      <c r="F148" s="98">
        <f t="shared" si="21"/>
        <v>-2.5544240166842092E-2</v>
      </c>
    </row>
    <row r="149" spans="1:6" ht="18" customHeight="1" x14ac:dyDescent="0.25">
      <c r="A149" s="99">
        <v>8</v>
      </c>
      <c r="B149" s="100" t="s">
        <v>119</v>
      </c>
      <c r="C149" s="97">
        <v>1203800</v>
      </c>
      <c r="D149" s="97">
        <v>1237730</v>
      </c>
      <c r="E149" s="97">
        <f t="shared" si="20"/>
        <v>33930</v>
      </c>
      <c r="F149" s="98">
        <f t="shared" si="21"/>
        <v>2.8185745140388768E-2</v>
      </c>
    </row>
    <row r="150" spans="1:6" ht="18" customHeight="1" x14ac:dyDescent="0.25">
      <c r="A150" s="99">
        <v>9</v>
      </c>
      <c r="B150" s="100" t="s">
        <v>120</v>
      </c>
      <c r="C150" s="97">
        <v>20310905</v>
      </c>
      <c r="D150" s="97">
        <v>20087925</v>
      </c>
      <c r="E150" s="97">
        <f t="shared" si="20"/>
        <v>-222980</v>
      </c>
      <c r="F150" s="98">
        <f t="shared" si="21"/>
        <v>-1.0978338976032826E-2</v>
      </c>
    </row>
    <row r="151" spans="1:6" ht="18" customHeight="1" x14ac:dyDescent="0.25">
      <c r="A151" s="99">
        <v>10</v>
      </c>
      <c r="B151" s="100" t="s">
        <v>121</v>
      </c>
      <c r="C151" s="97">
        <v>7330349</v>
      </c>
      <c r="D151" s="97">
        <v>0</v>
      </c>
      <c r="E151" s="97">
        <f t="shared" si="20"/>
        <v>-7330349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145017117</v>
      </c>
      <c r="D153" s="103">
        <f>SUM(D142:D152)</f>
        <v>156281287</v>
      </c>
      <c r="E153" s="103">
        <f t="shared" si="20"/>
        <v>11264170</v>
      </c>
      <c r="F153" s="104">
        <f t="shared" si="21"/>
        <v>7.767476166279047E-2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3316113</v>
      </c>
      <c r="D155" s="97">
        <v>3605343</v>
      </c>
      <c r="E155" s="97">
        <f t="shared" ref="E155:E166" si="22">D155-C155</f>
        <v>289230</v>
      </c>
      <c r="F155" s="98">
        <f t="shared" ref="F155:F166" si="23">IF(C155=0,0,E155/C155)</f>
        <v>8.7219585098577759E-2</v>
      </c>
    </row>
    <row r="156" spans="1:6" ht="18" customHeight="1" x14ac:dyDescent="0.25">
      <c r="A156" s="99">
        <v>2</v>
      </c>
      <c r="B156" s="100" t="s">
        <v>113</v>
      </c>
      <c r="C156" s="97">
        <v>1464913</v>
      </c>
      <c r="D156" s="97">
        <v>1701626</v>
      </c>
      <c r="E156" s="97">
        <f t="shared" si="22"/>
        <v>236713</v>
      </c>
      <c r="F156" s="98">
        <f t="shared" si="23"/>
        <v>0.16158843562723521</v>
      </c>
    </row>
    <row r="157" spans="1:6" ht="18" customHeight="1" x14ac:dyDescent="0.25">
      <c r="A157" s="99">
        <v>3</v>
      </c>
      <c r="B157" s="100" t="s">
        <v>114</v>
      </c>
      <c r="C157" s="97">
        <v>2845746</v>
      </c>
      <c r="D157" s="97">
        <v>4392749</v>
      </c>
      <c r="E157" s="97">
        <f t="shared" si="22"/>
        <v>1547003</v>
      </c>
      <c r="F157" s="98">
        <f t="shared" si="23"/>
        <v>0.54361949379881414</v>
      </c>
    </row>
    <row r="158" spans="1:6" ht="18" customHeight="1" x14ac:dyDescent="0.25">
      <c r="A158" s="99">
        <v>4</v>
      </c>
      <c r="B158" s="100" t="s">
        <v>115</v>
      </c>
      <c r="C158" s="97">
        <v>5688330</v>
      </c>
      <c r="D158" s="97">
        <v>6462234</v>
      </c>
      <c r="E158" s="97">
        <f t="shared" si="22"/>
        <v>773904</v>
      </c>
      <c r="F158" s="98">
        <f t="shared" si="23"/>
        <v>0.13605117846538439</v>
      </c>
    </row>
    <row r="159" spans="1:6" ht="18" customHeight="1" x14ac:dyDescent="0.25">
      <c r="A159" s="99">
        <v>5</v>
      </c>
      <c r="B159" s="100" t="s">
        <v>116</v>
      </c>
      <c r="C159" s="97">
        <v>88084</v>
      </c>
      <c r="D159" s="97">
        <v>74870</v>
      </c>
      <c r="E159" s="97">
        <f t="shared" si="22"/>
        <v>-13214</v>
      </c>
      <c r="F159" s="98">
        <f t="shared" si="23"/>
        <v>-0.15001589391944053</v>
      </c>
    </row>
    <row r="160" spans="1:6" ht="18" customHeight="1" x14ac:dyDescent="0.25">
      <c r="A160" s="99">
        <v>6</v>
      </c>
      <c r="B160" s="100" t="s">
        <v>117</v>
      </c>
      <c r="C160" s="97">
        <v>6156536</v>
      </c>
      <c r="D160" s="97">
        <v>8475107</v>
      </c>
      <c r="E160" s="97">
        <f t="shared" si="22"/>
        <v>2318571</v>
      </c>
      <c r="F160" s="98">
        <f t="shared" si="23"/>
        <v>0.3766031742525342</v>
      </c>
    </row>
    <row r="161" spans="1:6" ht="18" customHeight="1" x14ac:dyDescent="0.25">
      <c r="A161" s="99">
        <v>7</v>
      </c>
      <c r="B161" s="100" t="s">
        <v>118</v>
      </c>
      <c r="C161" s="97">
        <v>7380352</v>
      </c>
      <c r="D161" s="97">
        <v>7820641</v>
      </c>
      <c r="E161" s="97">
        <f t="shared" si="22"/>
        <v>440289</v>
      </c>
      <c r="F161" s="98">
        <f t="shared" si="23"/>
        <v>5.9656910673095268E-2</v>
      </c>
    </row>
    <row r="162" spans="1:6" ht="18" customHeight="1" x14ac:dyDescent="0.25">
      <c r="A162" s="99">
        <v>8</v>
      </c>
      <c r="B162" s="100" t="s">
        <v>119</v>
      </c>
      <c r="C162" s="97">
        <v>772778</v>
      </c>
      <c r="D162" s="97">
        <v>836101</v>
      </c>
      <c r="E162" s="97">
        <f t="shared" si="22"/>
        <v>63323</v>
      </c>
      <c r="F162" s="98">
        <f t="shared" si="23"/>
        <v>8.1942032511277491E-2</v>
      </c>
    </row>
    <row r="163" spans="1:6" ht="18" customHeight="1" x14ac:dyDescent="0.25">
      <c r="A163" s="99">
        <v>9</v>
      </c>
      <c r="B163" s="100" t="s">
        <v>120</v>
      </c>
      <c r="C163" s="97">
        <v>20140318</v>
      </c>
      <c r="D163" s="97">
        <v>19918935</v>
      </c>
      <c r="E163" s="97">
        <f t="shared" si="22"/>
        <v>-221383</v>
      </c>
      <c r="F163" s="98">
        <f t="shared" si="23"/>
        <v>-1.0992031009639471E-2</v>
      </c>
    </row>
    <row r="164" spans="1:6" ht="18" customHeight="1" x14ac:dyDescent="0.25">
      <c r="A164" s="99">
        <v>10</v>
      </c>
      <c r="B164" s="100" t="s">
        <v>121</v>
      </c>
      <c r="C164" s="97">
        <v>786338</v>
      </c>
      <c r="D164" s="97">
        <v>0</v>
      </c>
      <c r="E164" s="97">
        <f t="shared" si="22"/>
        <v>-786338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48639508</v>
      </c>
      <c r="D166" s="103">
        <f>SUM(D155:D165)</f>
        <v>53287606</v>
      </c>
      <c r="E166" s="103">
        <f t="shared" si="22"/>
        <v>4648098</v>
      </c>
      <c r="F166" s="104">
        <f t="shared" si="23"/>
        <v>9.5562191953092943E-2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5647</v>
      </c>
      <c r="D168" s="117">
        <v>5759</v>
      </c>
      <c r="E168" s="117">
        <f t="shared" ref="E168:E179" si="24">D168-C168</f>
        <v>112</v>
      </c>
      <c r="F168" s="98">
        <f t="shared" ref="F168:F179" si="25">IF(C168=0,0,E168/C168)</f>
        <v>1.9833539932707634E-2</v>
      </c>
    </row>
    <row r="169" spans="1:6" ht="18" customHeight="1" x14ac:dyDescent="0.25">
      <c r="A169" s="99">
        <v>2</v>
      </c>
      <c r="B169" s="100" t="s">
        <v>113</v>
      </c>
      <c r="C169" s="117">
        <v>1905</v>
      </c>
      <c r="D169" s="117">
        <v>2048</v>
      </c>
      <c r="E169" s="117">
        <f t="shared" si="24"/>
        <v>143</v>
      </c>
      <c r="F169" s="98">
        <f t="shared" si="25"/>
        <v>7.5065616797900261E-2</v>
      </c>
    </row>
    <row r="170" spans="1:6" ht="18" customHeight="1" x14ac:dyDescent="0.25">
      <c r="A170" s="99">
        <v>3</v>
      </c>
      <c r="B170" s="100" t="s">
        <v>114</v>
      </c>
      <c r="C170" s="117">
        <v>8558</v>
      </c>
      <c r="D170" s="117">
        <v>12579</v>
      </c>
      <c r="E170" s="117">
        <f t="shared" si="24"/>
        <v>4021</v>
      </c>
      <c r="F170" s="98">
        <f t="shared" si="25"/>
        <v>0.46985276933863052</v>
      </c>
    </row>
    <row r="171" spans="1:6" ht="18" customHeight="1" x14ac:dyDescent="0.25">
      <c r="A171" s="99">
        <v>4</v>
      </c>
      <c r="B171" s="100" t="s">
        <v>115</v>
      </c>
      <c r="C171" s="117">
        <v>20600</v>
      </c>
      <c r="D171" s="117">
        <v>21177</v>
      </c>
      <c r="E171" s="117">
        <f t="shared" si="24"/>
        <v>577</v>
      </c>
      <c r="F171" s="98">
        <f t="shared" si="25"/>
        <v>2.8009708737864077E-2</v>
      </c>
    </row>
    <row r="172" spans="1:6" ht="18" customHeight="1" x14ac:dyDescent="0.25">
      <c r="A172" s="99">
        <v>5</v>
      </c>
      <c r="B172" s="100" t="s">
        <v>116</v>
      </c>
      <c r="C172" s="117">
        <v>148</v>
      </c>
      <c r="D172" s="117">
        <v>176</v>
      </c>
      <c r="E172" s="117">
        <f t="shared" si="24"/>
        <v>28</v>
      </c>
      <c r="F172" s="98">
        <f t="shared" si="25"/>
        <v>0.1891891891891892</v>
      </c>
    </row>
    <row r="173" spans="1:6" ht="18" customHeight="1" x14ac:dyDescent="0.25">
      <c r="A173" s="99">
        <v>6</v>
      </c>
      <c r="B173" s="100" t="s">
        <v>117</v>
      </c>
      <c r="C173" s="117">
        <v>6750</v>
      </c>
      <c r="D173" s="117">
        <v>7289</v>
      </c>
      <c r="E173" s="117">
        <f t="shared" si="24"/>
        <v>539</v>
      </c>
      <c r="F173" s="98">
        <f t="shared" si="25"/>
        <v>7.9851851851851854E-2</v>
      </c>
    </row>
    <row r="174" spans="1:6" ht="18" customHeight="1" x14ac:dyDescent="0.25">
      <c r="A174" s="99">
        <v>7</v>
      </c>
      <c r="B174" s="100" t="s">
        <v>118</v>
      </c>
      <c r="C174" s="117">
        <v>8231</v>
      </c>
      <c r="D174" s="117">
        <v>7520</v>
      </c>
      <c r="E174" s="117">
        <f t="shared" si="24"/>
        <v>-711</v>
      </c>
      <c r="F174" s="98">
        <f t="shared" si="25"/>
        <v>-8.6380755679747304E-2</v>
      </c>
    </row>
    <row r="175" spans="1:6" ht="18" customHeight="1" x14ac:dyDescent="0.25">
      <c r="A175" s="99">
        <v>8</v>
      </c>
      <c r="B175" s="100" t="s">
        <v>119</v>
      </c>
      <c r="C175" s="117">
        <v>527</v>
      </c>
      <c r="D175" s="117">
        <v>510</v>
      </c>
      <c r="E175" s="117">
        <f t="shared" si="24"/>
        <v>-17</v>
      </c>
      <c r="F175" s="98">
        <f t="shared" si="25"/>
        <v>-3.2258064516129031E-2</v>
      </c>
    </row>
    <row r="176" spans="1:6" ht="18" customHeight="1" x14ac:dyDescent="0.25">
      <c r="A176" s="99">
        <v>9</v>
      </c>
      <c r="B176" s="100" t="s">
        <v>120</v>
      </c>
      <c r="C176" s="117">
        <v>9342</v>
      </c>
      <c r="D176" s="117">
        <v>8612</v>
      </c>
      <c r="E176" s="117">
        <f t="shared" si="24"/>
        <v>-730</v>
      </c>
      <c r="F176" s="98">
        <f t="shared" si="25"/>
        <v>-7.8141725540569473E-2</v>
      </c>
    </row>
    <row r="177" spans="1:6" ht="18" customHeight="1" x14ac:dyDescent="0.25">
      <c r="A177" s="99">
        <v>10</v>
      </c>
      <c r="B177" s="100" t="s">
        <v>121</v>
      </c>
      <c r="C177" s="117">
        <v>3304</v>
      </c>
      <c r="D177" s="117">
        <v>0</v>
      </c>
      <c r="E177" s="117">
        <f t="shared" si="24"/>
        <v>-3304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65012</v>
      </c>
      <c r="D179" s="118">
        <f>SUM(D168:D178)</f>
        <v>65670</v>
      </c>
      <c r="E179" s="118">
        <f t="shared" si="24"/>
        <v>658</v>
      </c>
      <c r="F179" s="104">
        <f t="shared" si="25"/>
        <v>1.0121208392296807E-2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10:A11"/>
    <mergeCell ref="B10:B11"/>
    <mergeCell ref="C10:F11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48504672</v>
      </c>
      <c r="D15" s="146">
        <v>50710790</v>
      </c>
      <c r="E15" s="146">
        <f>+D15-C15</f>
        <v>2206118</v>
      </c>
      <c r="F15" s="150">
        <f>IF(C15=0,0,E15/C15)</f>
        <v>4.5482587739176961E-2</v>
      </c>
    </row>
    <row r="16" spans="1:7" ht="15" customHeight="1" x14ac:dyDescent="0.2">
      <c r="A16" s="141">
        <v>2</v>
      </c>
      <c r="B16" s="149" t="s">
        <v>158</v>
      </c>
      <c r="C16" s="146">
        <v>9466788</v>
      </c>
      <c r="D16" s="146">
        <v>13924825</v>
      </c>
      <c r="E16" s="146">
        <f>+D16-C16</f>
        <v>4458037</v>
      </c>
      <c r="F16" s="150">
        <f>IF(C16=0,0,E16/C16)</f>
        <v>0.47091336575826986</v>
      </c>
    </row>
    <row r="17" spans="1:7" ht="15" customHeight="1" x14ac:dyDescent="0.2">
      <c r="A17" s="141">
        <v>3</v>
      </c>
      <c r="B17" s="149" t="s">
        <v>159</v>
      </c>
      <c r="C17" s="146">
        <v>70911540</v>
      </c>
      <c r="D17" s="146">
        <v>75549385</v>
      </c>
      <c r="E17" s="146">
        <f>+D17-C17</f>
        <v>4637845</v>
      </c>
      <c r="F17" s="150">
        <f>IF(C17=0,0,E17/C17)</f>
        <v>6.5403247482708732E-2</v>
      </c>
    </row>
    <row r="18" spans="1:7" ht="15.75" customHeight="1" x14ac:dyDescent="0.25">
      <c r="A18" s="141"/>
      <c r="B18" s="151" t="s">
        <v>160</v>
      </c>
      <c r="C18" s="147">
        <f>SUM(C15:C17)</f>
        <v>128883000</v>
      </c>
      <c r="D18" s="147">
        <f>SUM(D15:D17)</f>
        <v>140185000</v>
      </c>
      <c r="E18" s="147">
        <f>+D18-C18</f>
        <v>11302000</v>
      </c>
      <c r="F18" s="148">
        <f>IF(C18=0,0,E18/C18)</f>
        <v>8.769193764887534E-2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11454118</v>
      </c>
      <c r="D21" s="146">
        <v>11626907</v>
      </c>
      <c r="E21" s="146">
        <f>+D21-C21</f>
        <v>172789</v>
      </c>
      <c r="F21" s="150">
        <f>IF(C21=0,0,E21/C21)</f>
        <v>1.5085316913969282E-2</v>
      </c>
    </row>
    <row r="22" spans="1:7" ht="15" customHeight="1" x14ac:dyDescent="0.2">
      <c r="A22" s="141">
        <v>2</v>
      </c>
      <c r="B22" s="149" t="s">
        <v>163</v>
      </c>
      <c r="C22" s="146">
        <v>2213435</v>
      </c>
      <c r="D22" s="146">
        <v>955279</v>
      </c>
      <c r="E22" s="146">
        <f>+D22-C22</f>
        <v>-1258156</v>
      </c>
      <c r="F22" s="150">
        <f>IF(C22=0,0,E22/C22)</f>
        <v>-0.56841786634800662</v>
      </c>
    </row>
    <row r="23" spans="1:7" ht="15" customHeight="1" x14ac:dyDescent="0.2">
      <c r="A23" s="141">
        <v>3</v>
      </c>
      <c r="B23" s="149" t="s">
        <v>164</v>
      </c>
      <c r="C23" s="146">
        <v>28140447</v>
      </c>
      <c r="D23" s="146">
        <v>34400814</v>
      </c>
      <c r="E23" s="146">
        <f>+D23-C23</f>
        <v>6260367</v>
      </c>
      <c r="F23" s="150">
        <f>IF(C23=0,0,E23/C23)</f>
        <v>0.22246864095655625</v>
      </c>
    </row>
    <row r="24" spans="1:7" ht="15.75" customHeight="1" x14ac:dyDescent="0.25">
      <c r="A24" s="141"/>
      <c r="B24" s="151" t="s">
        <v>165</v>
      </c>
      <c r="C24" s="147">
        <f>SUM(C21:C23)</f>
        <v>41808000</v>
      </c>
      <c r="D24" s="147">
        <f>SUM(D21:D23)</f>
        <v>46983000</v>
      </c>
      <c r="E24" s="147">
        <f>+D24-C24</f>
        <v>5175000</v>
      </c>
      <c r="F24" s="148">
        <f>IF(C24=0,0,E24/C24)</f>
        <v>0.12378013777267509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1993281</v>
      </c>
      <c r="D27" s="146">
        <v>2016396</v>
      </c>
      <c r="E27" s="146">
        <f>+D27-C27</f>
        <v>23115</v>
      </c>
      <c r="F27" s="150">
        <f>IF(C27=0,0,E27/C27)</f>
        <v>1.1596458301664442E-2</v>
      </c>
    </row>
    <row r="28" spans="1:7" ht="15" customHeight="1" x14ac:dyDescent="0.2">
      <c r="A28" s="141">
        <v>2</v>
      </c>
      <c r="B28" s="149" t="s">
        <v>168</v>
      </c>
      <c r="C28" s="146">
        <v>14462000</v>
      </c>
      <c r="D28" s="146">
        <v>18061000</v>
      </c>
      <c r="E28" s="146">
        <f>+D28-C28</f>
        <v>3599000</v>
      </c>
      <c r="F28" s="150">
        <f>IF(C28=0,0,E28/C28)</f>
        <v>0.24885907896556492</v>
      </c>
    </row>
    <row r="29" spans="1:7" ht="15" customHeight="1" x14ac:dyDescent="0.2">
      <c r="A29" s="141">
        <v>3</v>
      </c>
      <c r="B29" s="149" t="s">
        <v>169</v>
      </c>
      <c r="C29" s="146">
        <v>22402736</v>
      </c>
      <c r="D29" s="146">
        <v>29282200</v>
      </c>
      <c r="E29" s="146">
        <f>+D29-C29</f>
        <v>6879464</v>
      </c>
      <c r="F29" s="150">
        <f>IF(C29=0,0,E29/C29)</f>
        <v>0.30708142076932032</v>
      </c>
    </row>
    <row r="30" spans="1:7" ht="15.75" customHeight="1" x14ac:dyDescent="0.25">
      <c r="A30" s="141"/>
      <c r="B30" s="151" t="s">
        <v>170</v>
      </c>
      <c r="C30" s="147">
        <f>SUM(C27:C29)</f>
        <v>38858017</v>
      </c>
      <c r="D30" s="147">
        <f>SUM(D27:D29)</f>
        <v>49359596</v>
      </c>
      <c r="E30" s="147">
        <f>+D30-C30</f>
        <v>10501579</v>
      </c>
      <c r="F30" s="148">
        <f>IF(C30=0,0,E30/C30)</f>
        <v>0.27025514451753935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35893000</v>
      </c>
      <c r="D33" s="146">
        <v>36788000</v>
      </c>
      <c r="E33" s="146">
        <f>+D33-C33</f>
        <v>895000</v>
      </c>
      <c r="F33" s="150">
        <f>IF(C33=0,0,E33/C33)</f>
        <v>2.4935224138411389E-2</v>
      </c>
    </row>
    <row r="34" spans="1:7" ht="15" customHeight="1" x14ac:dyDescent="0.2">
      <c r="A34" s="141">
        <v>2</v>
      </c>
      <c r="B34" s="149" t="s">
        <v>174</v>
      </c>
      <c r="C34" s="146">
        <v>9779000</v>
      </c>
      <c r="D34" s="146">
        <v>10100000</v>
      </c>
      <c r="E34" s="146">
        <f>+D34-C34</f>
        <v>321000</v>
      </c>
      <c r="F34" s="150">
        <f>IF(C34=0,0,E34/C34)</f>
        <v>3.2825442274261173E-2</v>
      </c>
    </row>
    <row r="35" spans="1:7" ht="15.75" customHeight="1" x14ac:dyDescent="0.25">
      <c r="A35" s="141"/>
      <c r="B35" s="151" t="s">
        <v>175</v>
      </c>
      <c r="C35" s="147">
        <f>SUM(C33:C34)</f>
        <v>45672000</v>
      </c>
      <c r="D35" s="147">
        <f>SUM(D33:D34)</f>
        <v>46888000</v>
      </c>
      <c r="E35" s="147">
        <f>+D35-C35</f>
        <v>1216000</v>
      </c>
      <c r="F35" s="148">
        <f>IF(C35=0,0,E35/C35)</f>
        <v>2.6624627780697144E-2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9244000</v>
      </c>
      <c r="D38" s="146">
        <v>9302000</v>
      </c>
      <c r="E38" s="146">
        <f>+D38-C38</f>
        <v>58000</v>
      </c>
      <c r="F38" s="150">
        <f>IF(C38=0,0,E38/C38)</f>
        <v>6.2743401125054093E-3</v>
      </c>
    </row>
    <row r="39" spans="1:7" ht="15" customHeight="1" x14ac:dyDescent="0.2">
      <c r="A39" s="141">
        <v>2</v>
      </c>
      <c r="B39" s="149" t="s">
        <v>179</v>
      </c>
      <c r="C39" s="146">
        <v>8524000</v>
      </c>
      <c r="D39" s="146">
        <v>8577000</v>
      </c>
      <c r="E39" s="146">
        <f>+D39-C39</f>
        <v>53000</v>
      </c>
      <c r="F39" s="150">
        <f>IF(C39=0,0,E39/C39)</f>
        <v>6.2177381511027687E-3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17768000</v>
      </c>
      <c r="D41" s="147">
        <f>SUM(D38:D40)</f>
        <v>17879000</v>
      </c>
      <c r="E41" s="147">
        <f>+D41-C41</f>
        <v>111000</v>
      </c>
      <c r="F41" s="148">
        <f>IF(C41=0,0,E41/C41)</f>
        <v>6.2471859522737509E-3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13505000</v>
      </c>
      <c r="D44" s="146">
        <v>12302000</v>
      </c>
      <c r="E44" s="146">
        <f>+D44-C44</f>
        <v>-1203000</v>
      </c>
      <c r="F44" s="150">
        <f>IF(C44=0,0,E44/C44)</f>
        <v>-8.9078119215105514E-2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3059000</v>
      </c>
      <c r="D47" s="146">
        <v>3110000</v>
      </c>
      <c r="E47" s="146">
        <f>+D47-C47</f>
        <v>51000</v>
      </c>
      <c r="F47" s="150">
        <f>IF(C47=0,0,E47/C47)</f>
        <v>1.6672115070284408E-2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8342000</v>
      </c>
      <c r="D50" s="146">
        <v>5829000</v>
      </c>
      <c r="E50" s="146">
        <f>+D50-C50</f>
        <v>-2513000</v>
      </c>
      <c r="F50" s="150">
        <f>IF(C50=0,0,E50/C50)</f>
        <v>-0.3012467034284344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287513</v>
      </c>
      <c r="D53" s="146">
        <v>311206</v>
      </c>
      <c r="E53" s="146">
        <f t="shared" ref="E53:E59" si="0">+D53-C53</f>
        <v>23693</v>
      </c>
      <c r="F53" s="150">
        <f t="shared" ref="F53:F59" si="1">IF(C53=0,0,E53/C53)</f>
        <v>8.2406708566221357E-2</v>
      </c>
    </row>
    <row r="54" spans="1:7" ht="15" customHeight="1" x14ac:dyDescent="0.2">
      <c r="A54" s="141">
        <v>2</v>
      </c>
      <c r="B54" s="149" t="s">
        <v>193</v>
      </c>
      <c r="C54" s="146">
        <v>1531639</v>
      </c>
      <c r="D54" s="146">
        <v>1487845</v>
      </c>
      <c r="E54" s="146">
        <f t="shared" si="0"/>
        <v>-43794</v>
      </c>
      <c r="F54" s="150">
        <f t="shared" si="1"/>
        <v>-2.859289950177555E-2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3762757</v>
      </c>
      <c r="D56" s="146">
        <v>3654234</v>
      </c>
      <c r="E56" s="146">
        <f t="shared" si="0"/>
        <v>-108523</v>
      </c>
      <c r="F56" s="150">
        <f t="shared" si="1"/>
        <v>-2.8841352231887416E-2</v>
      </c>
    </row>
    <row r="57" spans="1:7" ht="15" customHeight="1" x14ac:dyDescent="0.2">
      <c r="A57" s="141">
        <v>5</v>
      </c>
      <c r="B57" s="149" t="s">
        <v>196</v>
      </c>
      <c r="C57" s="146">
        <v>487180</v>
      </c>
      <c r="D57" s="146">
        <v>467854</v>
      </c>
      <c r="E57" s="146">
        <f t="shared" si="0"/>
        <v>-19326</v>
      </c>
      <c r="F57" s="150">
        <f t="shared" si="1"/>
        <v>-3.9669116137772485E-2</v>
      </c>
    </row>
    <row r="58" spans="1:7" ht="15" customHeight="1" x14ac:dyDescent="0.2">
      <c r="A58" s="141">
        <v>6</v>
      </c>
      <c r="B58" s="149" t="s">
        <v>197</v>
      </c>
      <c r="C58" s="146">
        <v>19436</v>
      </c>
      <c r="D58" s="146">
        <v>206584</v>
      </c>
      <c r="E58" s="146">
        <f t="shared" si="0"/>
        <v>187148</v>
      </c>
      <c r="F58" s="150">
        <f t="shared" si="1"/>
        <v>9.6289359950607114</v>
      </c>
    </row>
    <row r="59" spans="1:7" ht="15.75" customHeight="1" x14ac:dyDescent="0.25">
      <c r="A59" s="141"/>
      <c r="B59" s="151" t="s">
        <v>198</v>
      </c>
      <c r="C59" s="147">
        <f>SUM(C53:C58)</f>
        <v>6088525</v>
      </c>
      <c r="D59" s="147">
        <f>SUM(D53:D58)</f>
        <v>6127723</v>
      </c>
      <c r="E59" s="147">
        <f t="shared" si="0"/>
        <v>39198</v>
      </c>
      <c r="F59" s="148">
        <f t="shared" si="1"/>
        <v>6.438012490709983E-3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344693</v>
      </c>
      <c r="D62" s="146">
        <v>355029</v>
      </c>
      <c r="E62" s="146">
        <f t="shared" ref="E62:E78" si="2">+D62-C62</f>
        <v>10336</v>
      </c>
      <c r="F62" s="150">
        <f t="shared" ref="F62:F78" si="3">IF(C62=0,0,E62/C62)</f>
        <v>2.99861035762258E-2</v>
      </c>
    </row>
    <row r="63" spans="1:7" ht="15" customHeight="1" x14ac:dyDescent="0.2">
      <c r="A63" s="141">
        <v>2</v>
      </c>
      <c r="B63" s="149" t="s">
        <v>202</v>
      </c>
      <c r="C63" s="146">
        <v>1454019</v>
      </c>
      <c r="D63" s="146">
        <v>740953</v>
      </c>
      <c r="E63" s="146">
        <f t="shared" si="2"/>
        <v>-713066</v>
      </c>
      <c r="F63" s="150">
        <f t="shared" si="3"/>
        <v>-0.49041037290434308</v>
      </c>
    </row>
    <row r="64" spans="1:7" ht="15" customHeight="1" x14ac:dyDescent="0.2">
      <c r="A64" s="141">
        <v>3</v>
      </c>
      <c r="B64" s="149" t="s">
        <v>203</v>
      </c>
      <c r="C64" s="146">
        <v>1302117</v>
      </c>
      <c r="D64" s="146">
        <v>2788028</v>
      </c>
      <c r="E64" s="146">
        <f t="shared" si="2"/>
        <v>1485911</v>
      </c>
      <c r="F64" s="150">
        <f t="shared" si="3"/>
        <v>1.1411501424219175</v>
      </c>
    </row>
    <row r="65" spans="1:7" ht="15" customHeight="1" x14ac:dyDescent="0.2">
      <c r="A65" s="141">
        <v>4</v>
      </c>
      <c r="B65" s="149" t="s">
        <v>204</v>
      </c>
      <c r="C65" s="146">
        <v>669740</v>
      </c>
      <c r="D65" s="146">
        <v>600819</v>
      </c>
      <c r="E65" s="146">
        <f t="shared" si="2"/>
        <v>-68921</v>
      </c>
      <c r="F65" s="150">
        <f t="shared" si="3"/>
        <v>-0.10290709827694329</v>
      </c>
    </row>
    <row r="66" spans="1:7" ht="15" customHeight="1" x14ac:dyDescent="0.2">
      <c r="A66" s="141">
        <v>5</v>
      </c>
      <c r="B66" s="149" t="s">
        <v>205</v>
      </c>
      <c r="C66" s="146">
        <v>129773</v>
      </c>
      <c r="D66" s="146">
        <v>246363</v>
      </c>
      <c r="E66" s="146">
        <f t="shared" si="2"/>
        <v>116590</v>
      </c>
      <c r="F66" s="150">
        <f t="shared" si="3"/>
        <v>0.89841492452205007</v>
      </c>
    </row>
    <row r="67" spans="1:7" ht="15" customHeight="1" x14ac:dyDescent="0.2">
      <c r="A67" s="141">
        <v>6</v>
      </c>
      <c r="B67" s="149" t="s">
        <v>206</v>
      </c>
      <c r="C67" s="146">
        <v>1468896</v>
      </c>
      <c r="D67" s="146">
        <v>1778941</v>
      </c>
      <c r="E67" s="146">
        <f t="shared" si="2"/>
        <v>310045</v>
      </c>
      <c r="F67" s="150">
        <f t="shared" si="3"/>
        <v>0.21107348648236499</v>
      </c>
    </row>
    <row r="68" spans="1:7" ht="15" customHeight="1" x14ac:dyDescent="0.2">
      <c r="A68" s="141">
        <v>7</v>
      </c>
      <c r="B68" s="149" t="s">
        <v>207</v>
      </c>
      <c r="C68" s="146">
        <v>8535506</v>
      </c>
      <c r="D68" s="146">
        <v>9161504</v>
      </c>
      <c r="E68" s="146">
        <f t="shared" si="2"/>
        <v>625998</v>
      </c>
      <c r="F68" s="150">
        <f t="shared" si="3"/>
        <v>7.3340467454419217E-2</v>
      </c>
    </row>
    <row r="69" spans="1:7" ht="15" customHeight="1" x14ac:dyDescent="0.2">
      <c r="A69" s="141">
        <v>8</v>
      </c>
      <c r="B69" s="149" t="s">
        <v>208</v>
      </c>
      <c r="C69" s="146">
        <v>763709</v>
      </c>
      <c r="D69" s="146">
        <v>754417</v>
      </c>
      <c r="E69" s="146">
        <f t="shared" si="2"/>
        <v>-9292</v>
      </c>
      <c r="F69" s="150">
        <f t="shared" si="3"/>
        <v>-1.2166937930546844E-2</v>
      </c>
    </row>
    <row r="70" spans="1:7" ht="15" customHeight="1" x14ac:dyDescent="0.2">
      <c r="A70" s="141">
        <v>9</v>
      </c>
      <c r="B70" s="149" t="s">
        <v>209</v>
      </c>
      <c r="C70" s="146">
        <v>250647</v>
      </c>
      <c r="D70" s="146">
        <v>378817</v>
      </c>
      <c r="E70" s="146">
        <f t="shared" si="2"/>
        <v>128170</v>
      </c>
      <c r="F70" s="150">
        <f t="shared" si="3"/>
        <v>0.51135660909566039</v>
      </c>
    </row>
    <row r="71" spans="1:7" ht="15" customHeight="1" x14ac:dyDescent="0.2">
      <c r="A71" s="141">
        <v>10</v>
      </c>
      <c r="B71" s="149" t="s">
        <v>210</v>
      </c>
      <c r="C71" s="146">
        <v>11419</v>
      </c>
      <c r="D71" s="146">
        <v>0</v>
      </c>
      <c r="E71" s="146">
        <f t="shared" si="2"/>
        <v>-11419</v>
      </c>
      <c r="F71" s="150">
        <f t="shared" si="3"/>
        <v>-1</v>
      </c>
    </row>
    <row r="72" spans="1:7" ht="15" customHeight="1" x14ac:dyDescent="0.2">
      <c r="A72" s="141">
        <v>11</v>
      </c>
      <c r="B72" s="149" t="s">
        <v>211</v>
      </c>
      <c r="C72" s="146">
        <v>179547</v>
      </c>
      <c r="D72" s="146">
        <v>172967</v>
      </c>
      <c r="E72" s="146">
        <f t="shared" si="2"/>
        <v>-6580</v>
      </c>
      <c r="F72" s="150">
        <f t="shared" si="3"/>
        <v>-3.6647785816527147E-2</v>
      </c>
    </row>
    <row r="73" spans="1:7" ht="15" customHeight="1" x14ac:dyDescent="0.2">
      <c r="A73" s="141">
        <v>12</v>
      </c>
      <c r="B73" s="149" t="s">
        <v>212</v>
      </c>
      <c r="C73" s="146">
        <v>6601591</v>
      </c>
      <c r="D73" s="146">
        <v>5117857</v>
      </c>
      <c r="E73" s="146">
        <f t="shared" si="2"/>
        <v>-1483734</v>
      </c>
      <c r="F73" s="150">
        <f t="shared" si="3"/>
        <v>-0.22475400248212893</v>
      </c>
    </row>
    <row r="74" spans="1:7" ht="15" customHeight="1" x14ac:dyDescent="0.2">
      <c r="A74" s="141">
        <v>13</v>
      </c>
      <c r="B74" s="149" t="s">
        <v>213</v>
      </c>
      <c r="C74" s="146">
        <v>377826</v>
      </c>
      <c r="D74" s="146">
        <v>375598</v>
      </c>
      <c r="E74" s="146">
        <f t="shared" si="2"/>
        <v>-2228</v>
      </c>
      <c r="F74" s="150">
        <f t="shared" si="3"/>
        <v>-5.8968943376051406E-3</v>
      </c>
    </row>
    <row r="75" spans="1:7" ht="15" customHeight="1" x14ac:dyDescent="0.2">
      <c r="A75" s="141">
        <v>14</v>
      </c>
      <c r="B75" s="149" t="s">
        <v>214</v>
      </c>
      <c r="C75" s="146">
        <v>561611</v>
      </c>
      <c r="D75" s="146">
        <v>621521</v>
      </c>
      <c r="E75" s="146">
        <f t="shared" si="2"/>
        <v>59910</v>
      </c>
      <c r="F75" s="150">
        <f t="shared" si="3"/>
        <v>0.10667526099025838</v>
      </c>
    </row>
    <row r="76" spans="1:7" ht="15" customHeight="1" x14ac:dyDescent="0.2">
      <c r="A76" s="141">
        <v>15</v>
      </c>
      <c r="B76" s="149" t="s">
        <v>215</v>
      </c>
      <c r="C76" s="146">
        <v>0</v>
      </c>
      <c r="D76" s="146">
        <v>0</v>
      </c>
      <c r="E76" s="146">
        <f t="shared" si="2"/>
        <v>0</v>
      </c>
      <c r="F76" s="150">
        <f t="shared" si="3"/>
        <v>0</v>
      </c>
    </row>
    <row r="77" spans="1:7" ht="15" customHeight="1" x14ac:dyDescent="0.2">
      <c r="A77" s="141">
        <v>16</v>
      </c>
      <c r="B77" s="149" t="s">
        <v>216</v>
      </c>
      <c r="C77" s="146">
        <v>10928179</v>
      </c>
      <c r="D77" s="146">
        <v>18119535</v>
      </c>
      <c r="E77" s="146">
        <f t="shared" si="2"/>
        <v>7191356</v>
      </c>
      <c r="F77" s="150">
        <f t="shared" si="3"/>
        <v>0.6580562049724844</v>
      </c>
    </row>
    <row r="78" spans="1:7" ht="15.75" customHeight="1" x14ac:dyDescent="0.25">
      <c r="A78" s="141"/>
      <c r="B78" s="151" t="s">
        <v>217</v>
      </c>
      <c r="C78" s="147">
        <f>SUM(C62:C77)</f>
        <v>33579273</v>
      </c>
      <c r="D78" s="147">
        <f>SUM(D62:D77)</f>
        <v>41212349</v>
      </c>
      <c r="E78" s="147">
        <f t="shared" si="2"/>
        <v>7633076</v>
      </c>
      <c r="F78" s="148">
        <f t="shared" si="3"/>
        <v>0.22731510595836901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12652185</v>
      </c>
      <c r="D81" s="146">
        <v>13402332</v>
      </c>
      <c r="E81" s="146">
        <f>+D81-C81</f>
        <v>750147</v>
      </c>
      <c r="F81" s="150">
        <f>IF(C81=0,0,E81/C81)</f>
        <v>5.9289917117082938E-2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350215000</v>
      </c>
      <c r="D83" s="147">
        <f>+D81+D78+D59+D50+D47+D44+D41+D35+D30+D24+D18</f>
        <v>383278000</v>
      </c>
      <c r="E83" s="147">
        <f>+D83-C83</f>
        <v>33063000</v>
      </c>
      <c r="F83" s="148">
        <f>IF(C83=0,0,E83/C83)</f>
        <v>9.4407720971403278E-2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24809451</v>
      </c>
      <c r="D91" s="146">
        <v>25691212</v>
      </c>
      <c r="E91" s="146">
        <f t="shared" ref="E91:E109" si="4">D91-C91</f>
        <v>881761</v>
      </c>
      <c r="F91" s="150">
        <f t="shared" ref="F91:F109" si="5">IF(C91=0,0,E91/C91)</f>
        <v>3.5541334630903358E-2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2309585</v>
      </c>
      <c r="D92" s="146">
        <v>2635628</v>
      </c>
      <c r="E92" s="146">
        <f t="shared" si="4"/>
        <v>326043</v>
      </c>
      <c r="F92" s="150">
        <f t="shared" si="5"/>
        <v>0.14116951746742379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7283930</v>
      </c>
      <c r="D93" s="146">
        <v>7732705</v>
      </c>
      <c r="E93" s="146">
        <f t="shared" si="4"/>
        <v>448775</v>
      </c>
      <c r="F93" s="150">
        <f t="shared" si="5"/>
        <v>6.1611657443165983E-2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1052014</v>
      </c>
      <c r="D94" s="146">
        <v>1210004</v>
      </c>
      <c r="E94" s="146">
        <f t="shared" si="4"/>
        <v>157990</v>
      </c>
      <c r="F94" s="150">
        <f t="shared" si="5"/>
        <v>0.15017860979036401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6730447</v>
      </c>
      <c r="D95" s="146">
        <v>8946616</v>
      </c>
      <c r="E95" s="146">
        <f t="shared" si="4"/>
        <v>2216169</v>
      </c>
      <c r="F95" s="150">
        <f t="shared" si="5"/>
        <v>0.32927515809871172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43072329</v>
      </c>
      <c r="D97" s="146">
        <v>48433310</v>
      </c>
      <c r="E97" s="146">
        <f t="shared" si="4"/>
        <v>5360981</v>
      </c>
      <c r="F97" s="150">
        <f t="shared" si="5"/>
        <v>0.12446461857216962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5278</v>
      </c>
      <c r="D98" s="146">
        <v>15108</v>
      </c>
      <c r="E98" s="146">
        <f t="shared" si="4"/>
        <v>9830</v>
      </c>
      <c r="F98" s="150">
        <f t="shared" si="5"/>
        <v>1.8624478969306555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702838</v>
      </c>
      <c r="D99" s="146">
        <v>849910</v>
      </c>
      <c r="E99" s="146">
        <f t="shared" si="4"/>
        <v>147072</v>
      </c>
      <c r="F99" s="150">
        <f t="shared" si="5"/>
        <v>0.20925447969517869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3878840</v>
      </c>
      <c r="D100" s="146">
        <v>4323659</v>
      </c>
      <c r="E100" s="146">
        <f t="shared" si="4"/>
        <v>444819</v>
      </c>
      <c r="F100" s="150">
        <f t="shared" si="5"/>
        <v>0.1146783574470718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3343629</v>
      </c>
      <c r="D101" s="146">
        <v>3915297</v>
      </c>
      <c r="E101" s="146">
        <f t="shared" si="4"/>
        <v>571668</v>
      </c>
      <c r="F101" s="150">
        <f t="shared" si="5"/>
        <v>0.17097231780200495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5345701</v>
      </c>
      <c r="D103" s="146">
        <v>5260163</v>
      </c>
      <c r="E103" s="146">
        <f t="shared" si="4"/>
        <v>-85538</v>
      </c>
      <c r="F103" s="150">
        <f t="shared" si="5"/>
        <v>-1.6001269057135819E-2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1727240</v>
      </c>
      <c r="D104" s="146">
        <v>1895532</v>
      </c>
      <c r="E104" s="146">
        <f t="shared" si="4"/>
        <v>168292</v>
      </c>
      <c r="F104" s="150">
        <f t="shared" si="5"/>
        <v>9.7434056645283804E-2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5310277</v>
      </c>
      <c r="D105" s="146">
        <v>5667788</v>
      </c>
      <c r="E105" s="146">
        <f t="shared" si="4"/>
        <v>357511</v>
      </c>
      <c r="F105" s="150">
        <f t="shared" si="5"/>
        <v>6.7324359915688012E-2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2292223</v>
      </c>
      <c r="D106" s="146">
        <v>2261521</v>
      </c>
      <c r="E106" s="146">
        <f t="shared" si="4"/>
        <v>-30702</v>
      </c>
      <c r="F106" s="150">
        <f t="shared" si="5"/>
        <v>-1.3393984791183056E-2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12697313</v>
      </c>
      <c r="D107" s="146">
        <v>12986135</v>
      </c>
      <c r="E107" s="146">
        <f t="shared" si="4"/>
        <v>288822</v>
      </c>
      <c r="F107" s="150">
        <f t="shared" si="5"/>
        <v>2.2746702392860599E-2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34831818</v>
      </c>
      <c r="D108" s="146">
        <v>63335536</v>
      </c>
      <c r="E108" s="146">
        <f t="shared" si="4"/>
        <v>28503718</v>
      </c>
      <c r="F108" s="150">
        <f t="shared" si="5"/>
        <v>0.81832415408233927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155392913</v>
      </c>
      <c r="D109" s="147">
        <f>SUM(D91:D108)</f>
        <v>195160124</v>
      </c>
      <c r="E109" s="147">
        <f t="shared" si="4"/>
        <v>39767211</v>
      </c>
      <c r="F109" s="148">
        <f t="shared" si="5"/>
        <v>0.25591392961402298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2785943</v>
      </c>
      <c r="D114" s="146">
        <v>3511414</v>
      </c>
      <c r="E114" s="146">
        <f t="shared" si="6"/>
        <v>725471</v>
      </c>
      <c r="F114" s="150">
        <f t="shared" si="7"/>
        <v>0.2604041073345722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2750924</v>
      </c>
      <c r="D115" s="146">
        <v>2811035</v>
      </c>
      <c r="E115" s="146">
        <f t="shared" si="6"/>
        <v>60111</v>
      </c>
      <c r="F115" s="150">
        <f t="shared" si="7"/>
        <v>2.1851203450186193E-2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2392870</v>
      </c>
      <c r="D116" s="146">
        <v>2553208</v>
      </c>
      <c r="E116" s="146">
        <f t="shared" si="6"/>
        <v>160338</v>
      </c>
      <c r="F116" s="150">
        <f t="shared" si="7"/>
        <v>6.7006565337857885E-2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7929737</v>
      </c>
      <c r="D118" s="147">
        <f>SUM(D112:D117)</f>
        <v>8875657</v>
      </c>
      <c r="E118" s="147">
        <f t="shared" si="6"/>
        <v>945920</v>
      </c>
      <c r="F118" s="148">
        <f t="shared" si="7"/>
        <v>0.1192876888602989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22626350</v>
      </c>
      <c r="D121" s="146">
        <v>23303424</v>
      </c>
      <c r="E121" s="146">
        <f t="shared" ref="E121:E155" si="8">D121-C121</f>
        <v>677074</v>
      </c>
      <c r="F121" s="150">
        <f t="shared" ref="F121:F155" si="9">IF(C121=0,0,E121/C121)</f>
        <v>2.9924137123309769E-2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1490518</v>
      </c>
      <c r="D122" s="146">
        <v>1506213</v>
      </c>
      <c r="E122" s="146">
        <f t="shared" si="8"/>
        <v>15695</v>
      </c>
      <c r="F122" s="150">
        <f t="shared" si="9"/>
        <v>1.0529896317924373E-2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2090207</v>
      </c>
      <c r="D123" s="146">
        <v>1875331</v>
      </c>
      <c r="E123" s="146">
        <f t="shared" si="8"/>
        <v>-214876</v>
      </c>
      <c r="F123" s="150">
        <f t="shared" si="9"/>
        <v>-0.10280130149788992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3758394</v>
      </c>
      <c r="D124" s="146">
        <v>4083718</v>
      </c>
      <c r="E124" s="146">
        <f t="shared" si="8"/>
        <v>325324</v>
      </c>
      <c r="F124" s="150">
        <f t="shared" si="9"/>
        <v>8.6559312302009847E-2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5062625</v>
      </c>
      <c r="D125" s="146">
        <v>5476004</v>
      </c>
      <c r="E125" s="146">
        <f t="shared" si="8"/>
        <v>413379</v>
      </c>
      <c r="F125" s="150">
        <f t="shared" si="9"/>
        <v>8.165309498530901E-2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1181133</v>
      </c>
      <c r="D126" s="146">
        <v>1367569</v>
      </c>
      <c r="E126" s="146">
        <f t="shared" si="8"/>
        <v>186436</v>
      </c>
      <c r="F126" s="150">
        <f t="shared" si="9"/>
        <v>0.15784505216601347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3490957</v>
      </c>
      <c r="D127" s="146">
        <v>3416873</v>
      </c>
      <c r="E127" s="146">
        <f t="shared" si="8"/>
        <v>-74084</v>
      </c>
      <c r="F127" s="150">
        <f t="shared" si="9"/>
        <v>-2.1221687921105875E-2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752522</v>
      </c>
      <c r="D128" s="146">
        <v>789761</v>
      </c>
      <c r="E128" s="146">
        <f t="shared" si="8"/>
        <v>37239</v>
      </c>
      <c r="F128" s="150">
        <f t="shared" si="9"/>
        <v>4.9485596434389961E-2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1003518</v>
      </c>
      <c r="D129" s="146">
        <v>1266493</v>
      </c>
      <c r="E129" s="146">
        <f t="shared" si="8"/>
        <v>262975</v>
      </c>
      <c r="F129" s="150">
        <f t="shared" si="9"/>
        <v>0.26205309720403619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11680412</v>
      </c>
      <c r="D130" s="146">
        <v>12519831</v>
      </c>
      <c r="E130" s="146">
        <f t="shared" si="8"/>
        <v>839419</v>
      </c>
      <c r="F130" s="150">
        <f t="shared" si="9"/>
        <v>7.1865530085753818E-2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9612376</v>
      </c>
      <c r="D132" s="146">
        <v>11881744</v>
      </c>
      <c r="E132" s="146">
        <f t="shared" si="8"/>
        <v>2269368</v>
      </c>
      <c r="F132" s="150">
        <f t="shared" si="9"/>
        <v>0.23608814303560327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1378621</v>
      </c>
      <c r="D133" s="146">
        <v>1214650</v>
      </c>
      <c r="E133" s="146">
        <f t="shared" si="8"/>
        <v>-163971</v>
      </c>
      <c r="F133" s="150">
        <f t="shared" si="9"/>
        <v>-0.11893841744757987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124038</v>
      </c>
      <c r="D134" s="146">
        <v>128266</v>
      </c>
      <c r="E134" s="146">
        <f t="shared" si="8"/>
        <v>4228</v>
      </c>
      <c r="F134" s="150">
        <f t="shared" si="9"/>
        <v>3.4086328383237392E-2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2570754</v>
      </c>
      <c r="D138" s="146">
        <v>2862146</v>
      </c>
      <c r="E138" s="146">
        <f t="shared" si="8"/>
        <v>291392</v>
      </c>
      <c r="F138" s="150">
        <f t="shared" si="9"/>
        <v>0.11334884629178832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260442</v>
      </c>
      <c r="D139" s="146">
        <v>411175</v>
      </c>
      <c r="E139" s="146">
        <f t="shared" si="8"/>
        <v>150733</v>
      </c>
      <c r="F139" s="150">
        <f t="shared" si="9"/>
        <v>0.5787584183810599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1791128</v>
      </c>
      <c r="D142" s="146">
        <v>1788992</v>
      </c>
      <c r="E142" s="146">
        <f t="shared" si="8"/>
        <v>-2136</v>
      </c>
      <c r="F142" s="150">
        <f t="shared" si="9"/>
        <v>-1.1925445864282172E-3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640297</v>
      </c>
      <c r="D143" s="146">
        <v>785146</v>
      </c>
      <c r="E143" s="146">
        <f t="shared" si="8"/>
        <v>144849</v>
      </c>
      <c r="F143" s="150">
        <f t="shared" si="9"/>
        <v>0.2262215815473132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14689443</v>
      </c>
      <c r="D144" s="146">
        <v>17034981</v>
      </c>
      <c r="E144" s="146">
        <f t="shared" si="8"/>
        <v>2345538</v>
      </c>
      <c r="F144" s="150">
        <f t="shared" si="9"/>
        <v>0.15967508094078176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213512</v>
      </c>
      <c r="D146" s="146">
        <v>214162</v>
      </c>
      <c r="E146" s="146">
        <f t="shared" si="8"/>
        <v>650</v>
      </c>
      <c r="F146" s="150">
        <f t="shared" si="9"/>
        <v>3.0443253774963468E-3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2379780</v>
      </c>
      <c r="D148" s="146">
        <v>2613058</v>
      </c>
      <c r="E148" s="146">
        <f t="shared" si="8"/>
        <v>233278</v>
      </c>
      <c r="F148" s="150">
        <f t="shared" si="9"/>
        <v>9.8025027523552591E-2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5228034</v>
      </c>
      <c r="D152" s="146">
        <v>4873521</v>
      </c>
      <c r="E152" s="146">
        <f t="shared" si="8"/>
        <v>-354513</v>
      </c>
      <c r="F152" s="150">
        <f t="shared" si="9"/>
        <v>-6.7810002765858066E-2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92025061</v>
      </c>
      <c r="D155" s="147">
        <f>SUM(D121:D154)</f>
        <v>99413058</v>
      </c>
      <c r="E155" s="147">
        <f t="shared" si="8"/>
        <v>7387997</v>
      </c>
      <c r="F155" s="148">
        <f t="shared" si="9"/>
        <v>8.0282446104545366E-2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37832678</v>
      </c>
      <c r="D158" s="146">
        <v>40131537</v>
      </c>
      <c r="E158" s="146">
        <f t="shared" ref="E158:E171" si="10">D158-C158</f>
        <v>2298859</v>
      </c>
      <c r="F158" s="150">
        <f t="shared" ref="F158:F171" si="11">IF(C158=0,0,E158/C158)</f>
        <v>6.0763845477711097E-2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3288620</v>
      </c>
      <c r="D159" s="146">
        <v>3203594</v>
      </c>
      <c r="E159" s="146">
        <f t="shared" si="10"/>
        <v>-85026</v>
      </c>
      <c r="F159" s="150">
        <f t="shared" si="11"/>
        <v>-2.5854613789370616E-2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2133117</v>
      </c>
      <c r="D161" s="146">
        <v>2191717</v>
      </c>
      <c r="E161" s="146">
        <f t="shared" si="10"/>
        <v>58600</v>
      </c>
      <c r="F161" s="150">
        <f t="shared" si="11"/>
        <v>2.747153578542574E-2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2392263</v>
      </c>
      <c r="D165" s="146">
        <v>2326709</v>
      </c>
      <c r="E165" s="146">
        <f t="shared" si="10"/>
        <v>-65554</v>
      </c>
      <c r="F165" s="150">
        <f t="shared" si="11"/>
        <v>-2.7402505493752151E-2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1422317</v>
      </c>
      <c r="D166" s="146">
        <v>1789038</v>
      </c>
      <c r="E166" s="146">
        <f t="shared" si="10"/>
        <v>366721</v>
      </c>
      <c r="F166" s="150">
        <f t="shared" si="11"/>
        <v>0.25783352093801876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8425936</v>
      </c>
      <c r="D167" s="146">
        <v>9080048</v>
      </c>
      <c r="E167" s="146">
        <f t="shared" si="10"/>
        <v>654112</v>
      </c>
      <c r="F167" s="150">
        <f t="shared" si="11"/>
        <v>7.7630781909570637E-2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2091121</v>
      </c>
      <c r="D169" s="146">
        <v>2233976</v>
      </c>
      <c r="E169" s="146">
        <f t="shared" si="10"/>
        <v>142855</v>
      </c>
      <c r="F169" s="150">
        <f t="shared" si="11"/>
        <v>6.8315032941661441E-2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1925662</v>
      </c>
      <c r="D170" s="146">
        <v>2287015</v>
      </c>
      <c r="E170" s="146">
        <f t="shared" si="10"/>
        <v>361353</v>
      </c>
      <c r="F170" s="150">
        <f t="shared" si="11"/>
        <v>0.18765131160089363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59511714</v>
      </c>
      <c r="D171" s="147">
        <f>SUM(D158:D170)</f>
        <v>63243634</v>
      </c>
      <c r="E171" s="147">
        <f t="shared" si="10"/>
        <v>3731920</v>
      </c>
      <c r="F171" s="148">
        <f t="shared" si="11"/>
        <v>6.2708998769553173E-2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35355575</v>
      </c>
      <c r="D174" s="146">
        <v>16585527</v>
      </c>
      <c r="E174" s="146">
        <f>D174-C174</f>
        <v>-18770048</v>
      </c>
      <c r="F174" s="150">
        <f>IF(C174=0,0,E174/C174)</f>
        <v>-0.53089358608932258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350215000</v>
      </c>
      <c r="D176" s="147">
        <f>+D174+D171+D155+D118+D109</f>
        <v>383278000</v>
      </c>
      <c r="E176" s="147">
        <f>D176-C176</f>
        <v>33063000</v>
      </c>
      <c r="F176" s="148">
        <f>IF(C176=0,0,E176/C176)</f>
        <v>9.4407720971403278E-2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349484000</v>
      </c>
      <c r="D11" s="164">
        <v>359062000</v>
      </c>
      <c r="E11" s="51">
        <v>409615000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6311000</v>
      </c>
      <c r="D12" s="49">
        <v>6954000</v>
      </c>
      <c r="E12" s="49">
        <v>7707000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355795000</v>
      </c>
      <c r="D13" s="51">
        <f>+D11+D12</f>
        <v>366016000</v>
      </c>
      <c r="E13" s="51">
        <f>+E11+E12</f>
        <v>417322000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351055000</v>
      </c>
      <c r="D14" s="49">
        <v>350215000</v>
      </c>
      <c r="E14" s="49">
        <v>383278000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4740000</v>
      </c>
      <c r="D15" s="51">
        <f>+D13-D14</f>
        <v>15801000</v>
      </c>
      <c r="E15" s="51">
        <f>+E13-E14</f>
        <v>34044000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-3150000</v>
      </c>
      <c r="D16" s="49">
        <v>1766000</v>
      </c>
      <c r="E16" s="49">
        <v>-38000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1590000</v>
      </c>
      <c r="D17" s="51">
        <f>D15+D16</f>
        <v>17567000</v>
      </c>
      <c r="E17" s="51">
        <f>E15+E16</f>
        <v>34006000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1.3441279473691673E-2</v>
      </c>
      <c r="D20" s="169">
        <f>IF(+D27=0,0,+D24/+D27)</f>
        <v>4.296295087850955E-2</v>
      </c>
      <c r="E20" s="169">
        <f>IF(+E27=0,0,+E24/+E27)</f>
        <v>8.1584724072813725E-2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-8.9324958527697822E-3</v>
      </c>
      <c r="D21" s="169">
        <f>IF(D27=0,0,+D26/D27)</f>
        <v>4.8017575629041116E-3</v>
      </c>
      <c r="E21" s="169">
        <f>IF(E27=0,0,+E26/E27)</f>
        <v>-9.106507798046415E-5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4.50878362092189E-3</v>
      </c>
      <c r="D22" s="169">
        <f>IF(D27=0,0,+D28/D27)</f>
        <v>4.7764708441413666E-2</v>
      </c>
      <c r="E22" s="169">
        <f>IF(E27=0,0,+E28/E27)</f>
        <v>8.1493658994833254E-2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4740000</v>
      </c>
      <c r="D24" s="51">
        <f>+D15</f>
        <v>15801000</v>
      </c>
      <c r="E24" s="51">
        <f>+E15</f>
        <v>34044000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355795000</v>
      </c>
      <c r="D25" s="51">
        <f>+D13</f>
        <v>366016000</v>
      </c>
      <c r="E25" s="51">
        <f>+E13</f>
        <v>417322000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-3150000</v>
      </c>
      <c r="D26" s="51">
        <f>+D16</f>
        <v>1766000</v>
      </c>
      <c r="E26" s="51">
        <f>+E16</f>
        <v>-38000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352645000</v>
      </c>
      <c r="D27" s="51">
        <f>+D25+D26</f>
        <v>367782000</v>
      </c>
      <c r="E27" s="51">
        <f>+E25+E26</f>
        <v>417284000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1590000</v>
      </c>
      <c r="D28" s="51">
        <f>+D17</f>
        <v>17567000</v>
      </c>
      <c r="E28" s="51">
        <f>+E17</f>
        <v>34006000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49998000</v>
      </c>
      <c r="D31" s="51">
        <v>62529000</v>
      </c>
      <c r="E31" s="51">
        <v>74736000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88852000</v>
      </c>
      <c r="D32" s="51">
        <v>103099000</v>
      </c>
      <c r="E32" s="51">
        <v>118814000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-59745000</v>
      </c>
      <c r="D33" s="51">
        <f>+D32-C32</f>
        <v>14247000</v>
      </c>
      <c r="E33" s="51">
        <f>+E32-D32</f>
        <v>15715000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0.59789999999999999</v>
      </c>
      <c r="D34" s="171">
        <f>IF(C32=0,0,+D33/C32)</f>
        <v>0.16034529329671815</v>
      </c>
      <c r="E34" s="171">
        <f>IF(D32=0,0,+E33/D32)</f>
        <v>0.15242630869358578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0.31568957029967487</v>
      </c>
      <c r="D38" s="172">
        <f>IF((D40+D41)=0,0,+D39/(D40+D41))</f>
        <v>0.29394796077716007</v>
      </c>
      <c r="E38" s="172">
        <f>IF((E40+E41)=0,0,+E39/(E40+E41))</f>
        <v>0.29336142351486488</v>
      </c>
      <c r="F38" s="5"/>
    </row>
    <row r="39" spans="1:6" ht="24" customHeight="1" x14ac:dyDescent="0.2">
      <c r="A39" s="21">
        <v>2</v>
      </c>
      <c r="B39" s="48" t="s">
        <v>324</v>
      </c>
      <c r="C39" s="51">
        <v>351055000</v>
      </c>
      <c r="D39" s="51">
        <v>350215000</v>
      </c>
      <c r="E39" s="23">
        <v>383278000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1105534503</v>
      </c>
      <c r="D40" s="51">
        <v>1185589696</v>
      </c>
      <c r="E40" s="23">
        <v>1300539601</v>
      </c>
      <c r="F40" s="5"/>
    </row>
    <row r="41" spans="1:6" ht="24" customHeight="1" x14ac:dyDescent="0.2">
      <c r="A41" s="21">
        <v>4</v>
      </c>
      <c r="B41" s="48" t="s">
        <v>326</v>
      </c>
      <c r="C41" s="51">
        <v>6491465</v>
      </c>
      <c r="D41" s="51">
        <v>5828673</v>
      </c>
      <c r="E41" s="23">
        <v>5964831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1.220500221610795</v>
      </c>
      <c r="D43" s="173">
        <f>IF(D38=0,0,IF((D46-D47)=0,0,((+D44-D45)/(D46-D47)/D38)))</f>
        <v>1.3936717370552669</v>
      </c>
      <c r="E43" s="173">
        <f>IF(E38=0,0,IF((E46-E47)=0,0,((+E44-E45)/(E46-E47)/E38)))</f>
        <v>1.4449981697934966</v>
      </c>
      <c r="F43" s="5"/>
    </row>
    <row r="44" spans="1:6" ht="24" customHeight="1" x14ac:dyDescent="0.2">
      <c r="A44" s="21">
        <v>6</v>
      </c>
      <c r="B44" s="48" t="s">
        <v>328</v>
      </c>
      <c r="C44" s="51">
        <v>140527189</v>
      </c>
      <c r="D44" s="51">
        <v>152671902</v>
      </c>
      <c r="E44" s="23">
        <v>182231020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2775269</v>
      </c>
      <c r="D45" s="51">
        <v>3288819</v>
      </c>
      <c r="E45" s="23">
        <v>5198394</v>
      </c>
      <c r="F45" s="5"/>
    </row>
    <row r="46" spans="1:6" ht="24" customHeight="1" x14ac:dyDescent="0.2">
      <c r="A46" s="21">
        <v>8</v>
      </c>
      <c r="B46" s="48" t="s">
        <v>330</v>
      </c>
      <c r="C46" s="51">
        <v>402183381</v>
      </c>
      <c r="D46" s="51">
        <v>405205641</v>
      </c>
      <c r="E46" s="23">
        <v>460635737</v>
      </c>
      <c r="F46" s="5"/>
    </row>
    <row r="47" spans="1:6" ht="24" customHeight="1" x14ac:dyDescent="0.2">
      <c r="A47" s="21">
        <v>9</v>
      </c>
      <c r="B47" s="48" t="s">
        <v>331</v>
      </c>
      <c r="C47" s="51">
        <v>44664021</v>
      </c>
      <c r="D47" s="51">
        <v>40560464</v>
      </c>
      <c r="E47" s="174">
        <v>43014082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1.0234619695928417</v>
      </c>
      <c r="D49" s="175">
        <f>IF(D38=0,0,IF(D51=0,0,(D50/D51)/D38))</f>
        <v>0.95355166440023587</v>
      </c>
      <c r="E49" s="175">
        <f>IF(E38=0,0,IF(E51=0,0,(E50/E51)/E38))</f>
        <v>0.98099313274595012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136815629</v>
      </c>
      <c r="D50" s="176">
        <v>131046933</v>
      </c>
      <c r="E50" s="176">
        <v>144351885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423451590</v>
      </c>
      <c r="D51" s="176">
        <v>467532904</v>
      </c>
      <c r="E51" s="176">
        <v>501595334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0.77321463944798674</v>
      </c>
      <c r="D53" s="175">
        <f>IF(D38=0,0,IF(D55=0,0,(D54/D55)/D38))</f>
        <v>0.71770882656353041</v>
      </c>
      <c r="E53" s="175">
        <f>IF(E38=0,0,IF(E55=0,0,(E54/E55)/E38))</f>
        <v>0.73946165121028029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55860939</v>
      </c>
      <c r="D54" s="176">
        <v>59364198</v>
      </c>
      <c r="E54" s="176">
        <v>72981352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228848426</v>
      </c>
      <c r="D55" s="176">
        <v>281388190</v>
      </c>
      <c r="E55" s="176">
        <v>336428860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15245620.095199971</v>
      </c>
      <c r="D57" s="53">
        <f>+D60*D38</f>
        <v>11054283.145507723</v>
      </c>
      <c r="E57" s="53">
        <f>+E60*E38</f>
        <v>12285910.117120827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15999852</v>
      </c>
      <c r="D58" s="51">
        <v>12024692</v>
      </c>
      <c r="E58" s="52">
        <v>13664086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32293223</v>
      </c>
      <c r="D59" s="51">
        <v>25581567</v>
      </c>
      <c r="E59" s="52">
        <v>28215688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48293075</v>
      </c>
      <c r="D60" s="51">
        <v>37606259</v>
      </c>
      <c r="E60" s="52">
        <v>41879774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4.3428010127187965E-2</v>
      </c>
      <c r="D62" s="178">
        <f>IF(D63=0,0,+D57/D63)</f>
        <v>3.1564276645796793E-2</v>
      </c>
      <c r="E62" s="178">
        <f>IF(E63=0,0,+E57/E63)</f>
        <v>3.2054827350176181E-2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351055000</v>
      </c>
      <c r="D63" s="176">
        <v>350215000</v>
      </c>
      <c r="E63" s="176">
        <v>383278000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1.6298592276895261</v>
      </c>
      <c r="D67" s="179">
        <f>IF(D69=0,0,D68/D69)</f>
        <v>1.9502528700267292</v>
      </c>
      <c r="E67" s="179">
        <f>IF(E69=0,0,E68/E69)</f>
        <v>1.7913989521078015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75720000</v>
      </c>
      <c r="D68" s="180">
        <v>101419000</v>
      </c>
      <c r="E68" s="180">
        <v>111803000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46458000</v>
      </c>
      <c r="D69" s="180">
        <v>52003000</v>
      </c>
      <c r="E69" s="180">
        <v>62411000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36.239186011147481</v>
      </c>
      <c r="D71" s="181">
        <f>IF((D77/365)=0,0,+D74/(D77/365))</f>
        <v>68.100644614028695</v>
      </c>
      <c r="E71" s="181">
        <f>IF((E77/365)=0,0,+E74/(E77/365))</f>
        <v>55.51731121322171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32972000</v>
      </c>
      <c r="D72" s="182">
        <v>44477000</v>
      </c>
      <c r="E72" s="182">
        <v>37123000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17550000</v>
      </c>
      <c r="E73" s="184">
        <v>18455000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32972000</v>
      </c>
      <c r="D74" s="180">
        <f>+D72+D73</f>
        <v>62027000</v>
      </c>
      <c r="E74" s="180">
        <f>+E72+E73</f>
        <v>55578000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351055000</v>
      </c>
      <c r="D75" s="180">
        <f>+D14</f>
        <v>350215000</v>
      </c>
      <c r="E75" s="180">
        <f>+E14</f>
        <v>383278000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18962000</v>
      </c>
      <c r="D76" s="180">
        <v>17768000</v>
      </c>
      <c r="E76" s="180">
        <v>17879000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332093000</v>
      </c>
      <c r="D77" s="180">
        <f>+D75-D76</f>
        <v>332447000</v>
      </c>
      <c r="E77" s="180">
        <f>+E75-E76</f>
        <v>365399000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36.154931270101066</v>
      </c>
      <c r="D79" s="179">
        <f>IF((D84/365)=0,0,+D83/(D84/365))</f>
        <v>28.15808968924587</v>
      </c>
      <c r="E79" s="179">
        <f>IF((E84/365)=0,0,+E83/(E84/365))</f>
        <v>35.852629908572688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33101000</v>
      </c>
      <c r="D80" s="189">
        <v>29146000</v>
      </c>
      <c r="E80" s="189">
        <v>41819000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1517000</v>
      </c>
      <c r="D81" s="190">
        <v>1411000</v>
      </c>
      <c r="E81" s="190">
        <v>2403000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2857000</v>
      </c>
      <c r="E82" s="190">
        <v>3987000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34618000</v>
      </c>
      <c r="D83" s="191">
        <f>+D80+D81-D82</f>
        <v>27700000</v>
      </c>
      <c r="E83" s="191">
        <f>+E80+E81-E82</f>
        <v>40235000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349484000</v>
      </c>
      <c r="D84" s="191">
        <f>+D11</f>
        <v>359062000</v>
      </c>
      <c r="E84" s="191">
        <f>+E11</f>
        <v>409615000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51.061509878256999</v>
      </c>
      <c r="D86" s="179">
        <f>IF((D90/365)=0,0,+D87/(D90/365))</f>
        <v>57.095100873221895</v>
      </c>
      <c r="E86" s="179">
        <f>IF((E90/365)=0,0,+E87/(E90/365))</f>
        <v>62.342849870962972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46458000</v>
      </c>
      <c r="D87" s="51">
        <f>+D69</f>
        <v>52003000</v>
      </c>
      <c r="E87" s="51">
        <f>+E69</f>
        <v>62411000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351055000</v>
      </c>
      <c r="D88" s="51">
        <f t="shared" si="0"/>
        <v>350215000</v>
      </c>
      <c r="E88" s="51">
        <f t="shared" si="0"/>
        <v>383278000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18962000</v>
      </c>
      <c r="D89" s="52">
        <f t="shared" si="0"/>
        <v>17768000</v>
      </c>
      <c r="E89" s="52">
        <f t="shared" si="0"/>
        <v>17879000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332093000</v>
      </c>
      <c r="D90" s="51">
        <f>+D88-D89</f>
        <v>332447000</v>
      </c>
      <c r="E90" s="51">
        <f>+E88-E89</f>
        <v>365399000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31.978981086577047</v>
      </c>
      <c r="D94" s="192">
        <f>IF(D96=0,0,(D95/D96)*100)</f>
        <v>34.566704999983237</v>
      </c>
      <c r="E94" s="192">
        <f>IF(E96=0,0,(E95/E96)*100)</f>
        <v>36.176354169838319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88852000</v>
      </c>
      <c r="D95" s="51">
        <f>+D32</f>
        <v>103099000</v>
      </c>
      <c r="E95" s="51">
        <f>+E32</f>
        <v>118814000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277845000</v>
      </c>
      <c r="D96" s="51">
        <v>298261000</v>
      </c>
      <c r="E96" s="51">
        <v>328430000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21.286821063098149</v>
      </c>
      <c r="D98" s="192">
        <f>IF(D104=0,0,(D101/D104)*100)</f>
        <v>35.638641223221853</v>
      </c>
      <c r="E98" s="192">
        <f>IF(E104=0,0,(E101/E104)*100)</f>
        <v>46.256508095000356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1590000</v>
      </c>
      <c r="D99" s="51">
        <f>+D28</f>
        <v>17567000</v>
      </c>
      <c r="E99" s="51">
        <f>+E28</f>
        <v>34006000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18962000</v>
      </c>
      <c r="D100" s="52">
        <f>+D76</f>
        <v>17768000</v>
      </c>
      <c r="E100" s="52">
        <f>+E76</f>
        <v>17879000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20552000</v>
      </c>
      <c r="D101" s="51">
        <f>+D99+D100</f>
        <v>35335000</v>
      </c>
      <c r="E101" s="51">
        <f>+E99+E100</f>
        <v>51885000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46458000</v>
      </c>
      <c r="D102" s="180">
        <f>+D69</f>
        <v>52003000</v>
      </c>
      <c r="E102" s="180">
        <f>+E69</f>
        <v>62411000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50090000</v>
      </c>
      <c r="D103" s="194">
        <v>47145000</v>
      </c>
      <c r="E103" s="194">
        <v>49757000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96548000</v>
      </c>
      <c r="D104" s="180">
        <f>+D102+D103</f>
        <v>99148000</v>
      </c>
      <c r="E104" s="180">
        <f>+E102+E103</f>
        <v>112168000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36.051014092211133</v>
      </c>
      <c r="D106" s="197">
        <f>IF(D109=0,0,(D107/D109)*100)</f>
        <v>31.378956896781236</v>
      </c>
      <c r="E106" s="197">
        <f>IF(E109=0,0,(E107/E109)*100)</f>
        <v>29.516939449846056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50090000</v>
      </c>
      <c r="D107" s="180">
        <f>+D103</f>
        <v>47145000</v>
      </c>
      <c r="E107" s="180">
        <f>+E103</f>
        <v>49757000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88852000</v>
      </c>
      <c r="D108" s="180">
        <f>+D32</f>
        <v>103099000</v>
      </c>
      <c r="E108" s="180">
        <f>+E32</f>
        <v>118814000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138942000</v>
      </c>
      <c r="D109" s="180">
        <f>+D107+D108</f>
        <v>150244000</v>
      </c>
      <c r="E109" s="180">
        <f>+E107+E108</f>
        <v>168571000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3.9619683069224352</v>
      </c>
      <c r="D111" s="197">
        <f>IF((+D113+D115)=0,0,((+D112+D113+D114)/(+D113+D115)))</f>
        <v>6.5698151950718682</v>
      </c>
      <c r="E111" s="197">
        <f>IF((+E113+E115)=0,0,((+E112+E113+E114)/(+E113+E115)))</f>
        <v>9.082576383154418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1590000</v>
      </c>
      <c r="D112" s="180">
        <f>+D17</f>
        <v>17567000</v>
      </c>
      <c r="E112" s="180">
        <f>+E17</f>
        <v>34006000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3200000</v>
      </c>
      <c r="D113" s="180">
        <v>3059000</v>
      </c>
      <c r="E113" s="180">
        <v>3110000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18962000</v>
      </c>
      <c r="D114" s="180">
        <v>17768000</v>
      </c>
      <c r="E114" s="180">
        <v>17879000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2795000</v>
      </c>
      <c r="D115" s="180">
        <v>2785000</v>
      </c>
      <c r="E115" s="180">
        <v>2945000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13.716802025102837</v>
      </c>
      <c r="D119" s="197">
        <f>IF(+D121=0,0,(+D120)/(+D121))</f>
        <v>14.004952723998199</v>
      </c>
      <c r="E119" s="197">
        <f>IF(+E121=0,0,(+E120)/(+E121))</f>
        <v>14.819173331841826</v>
      </c>
    </row>
    <row r="120" spans="1:8" ht="24" customHeight="1" x14ac:dyDescent="0.25">
      <c r="A120" s="17">
        <v>21</v>
      </c>
      <c r="B120" s="48" t="s">
        <v>369</v>
      </c>
      <c r="C120" s="180">
        <v>260098000</v>
      </c>
      <c r="D120" s="180">
        <v>248840000</v>
      </c>
      <c r="E120" s="180">
        <v>264952000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18962000</v>
      </c>
      <c r="D121" s="180">
        <v>17768000</v>
      </c>
      <c r="E121" s="180">
        <v>17879000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103601</v>
      </c>
      <c r="D124" s="198">
        <v>104729</v>
      </c>
      <c r="E124" s="198">
        <v>104095</v>
      </c>
    </row>
    <row r="125" spans="1:8" ht="24" customHeight="1" x14ac:dyDescent="0.2">
      <c r="A125" s="44">
        <v>2</v>
      </c>
      <c r="B125" s="48" t="s">
        <v>373</v>
      </c>
      <c r="C125" s="198">
        <v>19808</v>
      </c>
      <c r="D125" s="198">
        <v>19044</v>
      </c>
      <c r="E125" s="198">
        <v>19058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5.2302605008077547</v>
      </c>
      <c r="D126" s="199">
        <f>IF(D125=0,0,D124/D125)</f>
        <v>5.4993173703003571</v>
      </c>
      <c r="E126" s="199">
        <f>IF(E125=0,0,E124/E125)</f>
        <v>5.4620107041662296</v>
      </c>
    </row>
    <row r="127" spans="1:8" ht="24" customHeight="1" x14ac:dyDescent="0.2">
      <c r="A127" s="44">
        <v>4</v>
      </c>
      <c r="B127" s="48" t="s">
        <v>375</v>
      </c>
      <c r="C127" s="198">
        <v>288</v>
      </c>
      <c r="D127" s="198">
        <v>290</v>
      </c>
      <c r="E127" s="198">
        <v>289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397</v>
      </c>
      <c r="E128" s="198">
        <v>406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425</v>
      </c>
      <c r="D129" s="198">
        <v>425</v>
      </c>
      <c r="E129" s="198">
        <v>425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0.98550000000000004</v>
      </c>
      <c r="D130" s="171">
        <v>0.98939999999999995</v>
      </c>
      <c r="E130" s="171">
        <v>0.98680000000000001</v>
      </c>
    </row>
    <row r="131" spans="1:8" ht="24" customHeight="1" x14ac:dyDescent="0.2">
      <c r="A131" s="44">
        <v>7</v>
      </c>
      <c r="B131" s="48" t="s">
        <v>379</v>
      </c>
      <c r="C131" s="171">
        <v>0.75280000000000002</v>
      </c>
      <c r="D131" s="171">
        <v>0.72270000000000001</v>
      </c>
      <c r="E131" s="171">
        <v>0.70240000000000002</v>
      </c>
    </row>
    <row r="132" spans="1:8" ht="24" customHeight="1" x14ac:dyDescent="0.2">
      <c r="A132" s="44">
        <v>8</v>
      </c>
      <c r="B132" s="48" t="s">
        <v>380</v>
      </c>
      <c r="C132" s="199">
        <v>2039.5</v>
      </c>
      <c r="D132" s="199">
        <v>2015.4</v>
      </c>
      <c r="E132" s="199">
        <v>2085.9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0.32339050389637636</v>
      </c>
      <c r="D135" s="203">
        <f>IF(D149=0,0,D143/D149)</f>
        <v>0.30756439452051376</v>
      </c>
      <c r="E135" s="203">
        <f>IF(E149=0,0,E143/E149)</f>
        <v>0.32111413960704144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0.38302883252482262</v>
      </c>
      <c r="D136" s="203">
        <f>IF(D149=0,0,D144/D149)</f>
        <v>0.39434629499344098</v>
      </c>
      <c r="E136" s="203">
        <f>IF(E149=0,0,E144/E149)</f>
        <v>0.38568247642310738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0.20700251812945905</v>
      </c>
      <c r="D137" s="203">
        <f>IF(D149=0,0,D145/D149)</f>
        <v>0.23734027965101342</v>
      </c>
      <c r="E137" s="203">
        <f>IF(E149=0,0,E145/E149)</f>
        <v>0.25868405678790246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4.4646583047440173E-2</v>
      </c>
      <c r="D138" s="203">
        <f>IF(D149=0,0,D146/D149)</f>
        <v>2.530579601123659E-2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4.0400386309788469E-2</v>
      </c>
      <c r="D139" s="203">
        <f>IF(D149=0,0,D147/D149)</f>
        <v>3.4211215007050801E-2</v>
      </c>
      <c r="E139" s="203">
        <f>IF(E149=0,0,E147/E149)</f>
        <v>3.3074027093773981E-2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1.5311760921133367E-3</v>
      </c>
      <c r="D140" s="203">
        <f>IF(D149=0,0,D148/D149)</f>
        <v>1.2320198167444262E-3</v>
      </c>
      <c r="E140" s="203">
        <f>IF(E149=0,0,E148/E149)</f>
        <v>1.4453000881747083E-3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357519360</v>
      </c>
      <c r="D143" s="205">
        <f>+D46-D147</f>
        <v>364645177</v>
      </c>
      <c r="E143" s="205">
        <f>+E46-E147</f>
        <v>417621655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423451590</v>
      </c>
      <c r="D144" s="205">
        <f>+D51</f>
        <v>467532904</v>
      </c>
      <c r="E144" s="205">
        <f>+E51</f>
        <v>501595334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228848426</v>
      </c>
      <c r="D145" s="205">
        <f>+D55</f>
        <v>281388190</v>
      </c>
      <c r="E145" s="205">
        <f>+E55</f>
        <v>336428860</v>
      </c>
    </row>
    <row r="146" spans="1:7" ht="20.100000000000001" customHeight="1" x14ac:dyDescent="0.2">
      <c r="A146" s="202">
        <v>11</v>
      </c>
      <c r="B146" s="201" t="s">
        <v>392</v>
      </c>
      <c r="C146" s="204">
        <v>49358338</v>
      </c>
      <c r="D146" s="205">
        <v>30002291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44664021</v>
      </c>
      <c r="D147" s="205">
        <f>+D47</f>
        <v>40560464</v>
      </c>
      <c r="E147" s="205">
        <f>+E47</f>
        <v>43014082</v>
      </c>
    </row>
    <row r="148" spans="1:7" ht="20.100000000000001" customHeight="1" x14ac:dyDescent="0.2">
      <c r="A148" s="202">
        <v>13</v>
      </c>
      <c r="B148" s="201" t="s">
        <v>394</v>
      </c>
      <c r="C148" s="206">
        <v>1692768</v>
      </c>
      <c r="D148" s="205">
        <v>1460670</v>
      </c>
      <c r="E148" s="205">
        <v>1879670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1105534503</v>
      </c>
      <c r="D149" s="205">
        <f>SUM(D143:D148)</f>
        <v>1185589696</v>
      </c>
      <c r="E149" s="205">
        <f>SUM(E143:E148)</f>
        <v>1300539601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0.40524404192993274</v>
      </c>
      <c r="D152" s="203">
        <f>IF(D166=0,0,D160/D166)</f>
        <v>0.43130546627426014</v>
      </c>
      <c r="E152" s="203">
        <f>IF(E166=0,0,E160/E166)</f>
        <v>0.44265351279533599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0.40248962406582878</v>
      </c>
      <c r="D153" s="203">
        <f>IF(D166=0,0,D161/D166)</f>
        <v>0.37836452030767587</v>
      </c>
      <c r="E153" s="203">
        <f>IF(E166=0,0,E161/E166)</f>
        <v>0.36093837852169897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0.16433391786017512</v>
      </c>
      <c r="D154" s="203">
        <f>IF(D166=0,0,D162/D166)</f>
        <v>0.17139894681640425</v>
      </c>
      <c r="E154" s="203">
        <f>IF(E166=0,0,E162/E166)</f>
        <v>0.18248304033716881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1.8359693887359654E-2</v>
      </c>
      <c r="D155" s="203">
        <f>IF(D166=0,0,D163/D166)</f>
        <v>8.706219789607195E-3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8.1643960171505596E-3</v>
      </c>
      <c r="D156" s="203">
        <f>IF(D166=0,0,D164/D166)</f>
        <v>9.4956241617174687E-3</v>
      </c>
      <c r="E156" s="203">
        <f>IF(E166=0,0,E164/E166)</f>
        <v>1.2998097678301387E-2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1.408326239553127E-3</v>
      </c>
      <c r="D157" s="203">
        <f>IF(D166=0,0,D165/D166)</f>
        <v>7.2922265033511895E-4</v>
      </c>
      <c r="E157" s="203">
        <f>IF(E166=0,0,E165/E166)</f>
        <v>9.2697066749486791E-4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137751920</v>
      </c>
      <c r="D160" s="208">
        <f>+D44-D164</f>
        <v>149383083</v>
      </c>
      <c r="E160" s="208">
        <f>+E44-E164</f>
        <v>177032626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136815629</v>
      </c>
      <c r="D161" s="208">
        <f>+D50</f>
        <v>131046933</v>
      </c>
      <c r="E161" s="208">
        <f>+E50</f>
        <v>144351885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55860939</v>
      </c>
      <c r="D162" s="208">
        <f>+D54</f>
        <v>59364198</v>
      </c>
      <c r="E162" s="208">
        <f>+E54</f>
        <v>72981352</v>
      </c>
    </row>
    <row r="163" spans="1:6" ht="20.100000000000001" customHeight="1" x14ac:dyDescent="0.2">
      <c r="A163" s="202">
        <v>11</v>
      </c>
      <c r="B163" s="201" t="s">
        <v>408</v>
      </c>
      <c r="C163" s="207">
        <v>6240889</v>
      </c>
      <c r="D163" s="208">
        <v>3015408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2775269</v>
      </c>
      <c r="D164" s="208">
        <f>+D45</f>
        <v>3288819</v>
      </c>
      <c r="E164" s="208">
        <f>+E45</f>
        <v>5198394</v>
      </c>
    </row>
    <row r="165" spans="1:6" ht="20.100000000000001" customHeight="1" x14ac:dyDescent="0.2">
      <c r="A165" s="202">
        <v>13</v>
      </c>
      <c r="B165" s="201" t="s">
        <v>410</v>
      </c>
      <c r="C165" s="209">
        <v>478723</v>
      </c>
      <c r="D165" s="208">
        <v>252567</v>
      </c>
      <c r="E165" s="208">
        <v>370728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339923369</v>
      </c>
      <c r="D166" s="208">
        <f>SUM(D160:D165)</f>
        <v>346351008</v>
      </c>
      <c r="E166" s="208">
        <f>SUM(E160:E165)</f>
        <v>399934985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7016</v>
      </c>
      <c r="D169" s="198">
        <v>6407</v>
      </c>
      <c r="E169" s="198">
        <v>6089</v>
      </c>
    </row>
    <row r="170" spans="1:6" ht="20.100000000000001" customHeight="1" x14ac:dyDescent="0.2">
      <c r="A170" s="202">
        <v>2</v>
      </c>
      <c r="B170" s="201" t="s">
        <v>414</v>
      </c>
      <c r="C170" s="198">
        <v>7107</v>
      </c>
      <c r="D170" s="198">
        <v>6937</v>
      </c>
      <c r="E170" s="198">
        <v>6932</v>
      </c>
    </row>
    <row r="171" spans="1:6" ht="20.100000000000001" customHeight="1" x14ac:dyDescent="0.2">
      <c r="A171" s="202">
        <v>3</v>
      </c>
      <c r="B171" s="201" t="s">
        <v>415</v>
      </c>
      <c r="C171" s="198">
        <v>5662</v>
      </c>
      <c r="D171" s="198">
        <v>5672</v>
      </c>
      <c r="E171" s="198">
        <v>6004</v>
      </c>
    </row>
    <row r="172" spans="1:6" ht="20.100000000000001" customHeight="1" x14ac:dyDescent="0.2">
      <c r="A172" s="202">
        <v>4</v>
      </c>
      <c r="B172" s="201" t="s">
        <v>416</v>
      </c>
      <c r="C172" s="198">
        <v>4962</v>
      </c>
      <c r="D172" s="198">
        <v>5266</v>
      </c>
      <c r="E172" s="198">
        <v>6004</v>
      </c>
    </row>
    <row r="173" spans="1:6" ht="20.100000000000001" customHeight="1" x14ac:dyDescent="0.2">
      <c r="A173" s="202">
        <v>5</v>
      </c>
      <c r="B173" s="201" t="s">
        <v>417</v>
      </c>
      <c r="C173" s="198">
        <v>700</v>
      </c>
      <c r="D173" s="198">
        <v>406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23</v>
      </c>
      <c r="D174" s="198">
        <v>28</v>
      </c>
      <c r="E174" s="198">
        <v>33</v>
      </c>
    </row>
    <row r="175" spans="1:6" ht="20.100000000000001" customHeight="1" x14ac:dyDescent="0.2">
      <c r="A175" s="202">
        <v>7</v>
      </c>
      <c r="B175" s="201" t="s">
        <v>419</v>
      </c>
      <c r="C175" s="198">
        <v>398</v>
      </c>
      <c r="D175" s="198">
        <v>311</v>
      </c>
      <c r="E175" s="198">
        <v>262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19808</v>
      </c>
      <c r="D176" s="198">
        <f>+D169+D170+D171+D174</f>
        <v>19044</v>
      </c>
      <c r="E176" s="198">
        <f>+E169+E170+E171+E174</f>
        <v>19058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1.13717</v>
      </c>
      <c r="D179" s="210">
        <v>1.1827700000000001</v>
      </c>
      <c r="E179" s="210">
        <v>1.2248300000000001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1.64252</v>
      </c>
      <c r="D180" s="210">
        <v>1.66225</v>
      </c>
      <c r="E180" s="210">
        <v>1.6128899999999999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0.95577900000000005</v>
      </c>
      <c r="D181" s="210">
        <v>1.0187710000000001</v>
      </c>
      <c r="E181" s="210">
        <v>0.99748999999999999</v>
      </c>
    </row>
    <row r="182" spans="1:6" ht="20.100000000000001" customHeight="1" x14ac:dyDescent="0.2">
      <c r="A182" s="202">
        <v>4</v>
      </c>
      <c r="B182" s="201" t="s">
        <v>416</v>
      </c>
      <c r="C182" s="210">
        <v>0.96157000000000004</v>
      </c>
      <c r="D182" s="210">
        <v>1.0019100000000001</v>
      </c>
      <c r="E182" s="210">
        <v>0.99748999999999999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0.91473000000000004</v>
      </c>
      <c r="D183" s="210">
        <v>1.2374700000000001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1.4279599999999999</v>
      </c>
      <c r="D184" s="210">
        <v>1.0464</v>
      </c>
      <c r="E184" s="210">
        <v>0.87963000000000002</v>
      </c>
    </row>
    <row r="185" spans="1:6" ht="20.100000000000001" customHeight="1" x14ac:dyDescent="0.2">
      <c r="A185" s="202">
        <v>7</v>
      </c>
      <c r="B185" s="201" t="s">
        <v>419</v>
      </c>
      <c r="C185" s="210">
        <v>1.21574</v>
      </c>
      <c r="D185" s="210">
        <v>1.18285</v>
      </c>
      <c r="E185" s="210">
        <v>1.14876</v>
      </c>
    </row>
    <row r="186" spans="1:6" ht="20.100000000000001" customHeight="1" x14ac:dyDescent="0.2">
      <c r="A186" s="202">
        <v>8</v>
      </c>
      <c r="B186" s="201" t="s">
        <v>423</v>
      </c>
      <c r="C186" s="210">
        <v>1.266974</v>
      </c>
      <c r="D186" s="210">
        <v>1.3083800000000001</v>
      </c>
      <c r="E186" s="210">
        <v>1.2937609999999999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10610</v>
      </c>
      <c r="D189" s="198">
        <v>10660</v>
      </c>
      <c r="E189" s="198">
        <v>11166</v>
      </c>
    </row>
    <row r="190" spans="1:6" ht="20.100000000000001" customHeight="1" x14ac:dyDescent="0.2">
      <c r="A190" s="202">
        <v>2</v>
      </c>
      <c r="B190" s="201" t="s">
        <v>427</v>
      </c>
      <c r="C190" s="198">
        <v>66812</v>
      </c>
      <c r="D190" s="198">
        <v>65012</v>
      </c>
      <c r="E190" s="198">
        <v>65670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77422</v>
      </c>
      <c r="D191" s="198">
        <f>+D190+D189</f>
        <v>75672</v>
      </c>
      <c r="E191" s="198">
        <f>+E190+E189</f>
        <v>76836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1" t="s">
        <v>0</v>
      </c>
      <c r="B2" s="691"/>
      <c r="C2" s="691"/>
      <c r="D2" s="691"/>
      <c r="E2" s="691"/>
      <c r="F2" s="691"/>
    </row>
    <row r="3" spans="1:7" ht="20.25" customHeight="1" x14ac:dyDescent="0.3">
      <c r="A3" s="691" t="s">
        <v>1</v>
      </c>
      <c r="B3" s="691"/>
      <c r="C3" s="691"/>
      <c r="D3" s="691"/>
      <c r="E3" s="691"/>
      <c r="F3" s="691"/>
    </row>
    <row r="4" spans="1:7" ht="20.25" customHeight="1" x14ac:dyDescent="0.3">
      <c r="A4" s="691" t="s">
        <v>2</v>
      </c>
      <c r="B4" s="691"/>
      <c r="C4" s="691"/>
      <c r="D4" s="691"/>
      <c r="E4" s="691"/>
      <c r="F4" s="691"/>
    </row>
    <row r="5" spans="1:7" ht="20.25" customHeight="1" x14ac:dyDescent="0.3">
      <c r="A5" s="691" t="s">
        <v>429</v>
      </c>
      <c r="B5" s="691"/>
      <c r="C5" s="691"/>
      <c r="D5" s="691"/>
      <c r="E5" s="691"/>
      <c r="F5" s="691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2"/>
      <c r="D9" s="693"/>
      <c r="E9" s="693"/>
      <c r="F9" s="694"/>
      <c r="G9" s="212"/>
    </row>
    <row r="10" spans="1:7" ht="20.25" customHeight="1" x14ac:dyDescent="0.3">
      <c r="A10" s="675" t="s">
        <v>12</v>
      </c>
      <c r="B10" s="677" t="s">
        <v>113</v>
      </c>
      <c r="C10" s="679"/>
      <c r="D10" s="680"/>
      <c r="E10" s="680"/>
      <c r="F10" s="681"/>
    </row>
    <row r="11" spans="1:7" ht="20.25" customHeight="1" x14ac:dyDescent="0.3">
      <c r="A11" s="676"/>
      <c r="B11" s="678"/>
      <c r="C11" s="682"/>
      <c r="D11" s="683"/>
      <c r="E11" s="683"/>
      <c r="F11" s="684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2201038</v>
      </c>
      <c r="D14" s="237">
        <v>7523630</v>
      </c>
      <c r="E14" s="237">
        <f t="shared" ref="E14:E24" si="0">D14-C14</f>
        <v>5322592</v>
      </c>
      <c r="F14" s="238">
        <f t="shared" ref="F14:F24" si="1">IF(C14=0,0,E14/C14)</f>
        <v>2.4182190402891726</v>
      </c>
    </row>
    <row r="15" spans="1:7" ht="20.25" customHeight="1" x14ac:dyDescent="0.3">
      <c r="A15" s="235">
        <v>2</v>
      </c>
      <c r="B15" s="236" t="s">
        <v>435</v>
      </c>
      <c r="C15" s="237">
        <v>439494</v>
      </c>
      <c r="D15" s="237">
        <v>2016548</v>
      </c>
      <c r="E15" s="237">
        <f t="shared" si="0"/>
        <v>1577054</v>
      </c>
      <c r="F15" s="238">
        <f t="shared" si="1"/>
        <v>3.5883402276254057</v>
      </c>
    </row>
    <row r="16" spans="1:7" ht="20.25" customHeight="1" x14ac:dyDescent="0.3">
      <c r="A16" s="235">
        <v>3</v>
      </c>
      <c r="B16" s="236" t="s">
        <v>436</v>
      </c>
      <c r="C16" s="237">
        <v>943612</v>
      </c>
      <c r="D16" s="237">
        <v>3153831</v>
      </c>
      <c r="E16" s="237">
        <f t="shared" si="0"/>
        <v>2210219</v>
      </c>
      <c r="F16" s="238">
        <f t="shared" si="1"/>
        <v>2.3422964099651127</v>
      </c>
    </row>
    <row r="17" spans="1:6" ht="20.25" customHeight="1" x14ac:dyDescent="0.3">
      <c r="A17" s="235">
        <v>4</v>
      </c>
      <c r="B17" s="236" t="s">
        <v>437</v>
      </c>
      <c r="C17" s="237">
        <v>327875</v>
      </c>
      <c r="D17" s="237">
        <v>685364</v>
      </c>
      <c r="E17" s="237">
        <f t="shared" si="0"/>
        <v>357489</v>
      </c>
      <c r="F17" s="238">
        <f t="shared" si="1"/>
        <v>1.0903210064811284</v>
      </c>
    </row>
    <row r="18" spans="1:6" ht="20.25" customHeight="1" x14ac:dyDescent="0.3">
      <c r="A18" s="235">
        <v>5</v>
      </c>
      <c r="B18" s="236" t="s">
        <v>373</v>
      </c>
      <c r="C18" s="239">
        <v>23</v>
      </c>
      <c r="D18" s="239">
        <v>142</v>
      </c>
      <c r="E18" s="239">
        <f t="shared" si="0"/>
        <v>119</v>
      </c>
      <c r="F18" s="238">
        <f t="shared" si="1"/>
        <v>5.1739130434782608</v>
      </c>
    </row>
    <row r="19" spans="1:6" ht="20.25" customHeight="1" x14ac:dyDescent="0.3">
      <c r="A19" s="235">
        <v>6</v>
      </c>
      <c r="B19" s="236" t="s">
        <v>372</v>
      </c>
      <c r="C19" s="239">
        <v>227</v>
      </c>
      <c r="D19" s="239">
        <v>1067</v>
      </c>
      <c r="E19" s="239">
        <f t="shared" si="0"/>
        <v>840</v>
      </c>
      <c r="F19" s="238">
        <f t="shared" si="1"/>
        <v>3.7004405286343611</v>
      </c>
    </row>
    <row r="20" spans="1:6" ht="20.25" customHeight="1" x14ac:dyDescent="0.3">
      <c r="A20" s="235">
        <v>7</v>
      </c>
      <c r="B20" s="236" t="s">
        <v>438</v>
      </c>
      <c r="C20" s="239">
        <v>151</v>
      </c>
      <c r="D20" s="239">
        <v>764</v>
      </c>
      <c r="E20" s="239">
        <f t="shared" si="0"/>
        <v>613</v>
      </c>
      <c r="F20" s="238">
        <f t="shared" si="1"/>
        <v>4.0596026490066226</v>
      </c>
    </row>
    <row r="21" spans="1:6" ht="20.25" customHeight="1" x14ac:dyDescent="0.3">
      <c r="A21" s="235">
        <v>8</v>
      </c>
      <c r="B21" s="236" t="s">
        <v>439</v>
      </c>
      <c r="C21" s="239">
        <v>23</v>
      </c>
      <c r="D21" s="239">
        <v>100</v>
      </c>
      <c r="E21" s="239">
        <f t="shared" si="0"/>
        <v>77</v>
      </c>
      <c r="F21" s="238">
        <f t="shared" si="1"/>
        <v>3.347826086956522</v>
      </c>
    </row>
    <row r="22" spans="1:6" ht="20.25" customHeight="1" x14ac:dyDescent="0.3">
      <c r="A22" s="235">
        <v>9</v>
      </c>
      <c r="B22" s="236" t="s">
        <v>440</v>
      </c>
      <c r="C22" s="239">
        <v>13</v>
      </c>
      <c r="D22" s="239">
        <v>107</v>
      </c>
      <c r="E22" s="239">
        <f t="shared" si="0"/>
        <v>94</v>
      </c>
      <c r="F22" s="238">
        <f t="shared" si="1"/>
        <v>7.2307692307692308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3144650</v>
      </c>
      <c r="D23" s="243">
        <f>+D14+D16</f>
        <v>10677461</v>
      </c>
      <c r="E23" s="243">
        <f t="shared" si="0"/>
        <v>7532811</v>
      </c>
      <c r="F23" s="244">
        <f t="shared" si="1"/>
        <v>2.3954370120681157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767369</v>
      </c>
      <c r="D24" s="243">
        <f>+D15+D17</f>
        <v>2701912</v>
      </c>
      <c r="E24" s="243">
        <f t="shared" si="0"/>
        <v>1934543</v>
      </c>
      <c r="F24" s="244">
        <f t="shared" si="1"/>
        <v>2.5210074944387904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80142154</v>
      </c>
      <c r="D53" s="237">
        <v>23785402</v>
      </c>
      <c r="E53" s="237">
        <f t="shared" ref="E53:E63" si="6">D53-C53</f>
        <v>-56356752</v>
      </c>
      <c r="F53" s="238">
        <f t="shared" ref="F53:F63" si="7">IF(C53=0,0,E53/C53)</f>
        <v>-0.70320984883935111</v>
      </c>
    </row>
    <row r="54" spans="1:6" ht="20.25" customHeight="1" x14ac:dyDescent="0.3">
      <c r="A54" s="235">
        <v>2</v>
      </c>
      <c r="B54" s="236" t="s">
        <v>435</v>
      </c>
      <c r="C54" s="237">
        <v>24107191</v>
      </c>
      <c r="D54" s="237">
        <v>6504358</v>
      </c>
      <c r="E54" s="237">
        <f t="shared" si="6"/>
        <v>-17602833</v>
      </c>
      <c r="F54" s="238">
        <f t="shared" si="7"/>
        <v>-0.73019013289437162</v>
      </c>
    </row>
    <row r="55" spans="1:6" ht="20.25" customHeight="1" x14ac:dyDescent="0.3">
      <c r="A55" s="235">
        <v>3</v>
      </c>
      <c r="B55" s="236" t="s">
        <v>436</v>
      </c>
      <c r="C55" s="237">
        <v>28586100</v>
      </c>
      <c r="D55" s="237">
        <v>7924714</v>
      </c>
      <c r="E55" s="237">
        <f t="shared" si="6"/>
        <v>-20661386</v>
      </c>
      <c r="F55" s="238">
        <f t="shared" si="7"/>
        <v>-0.72277736382367652</v>
      </c>
    </row>
    <row r="56" spans="1:6" ht="20.25" customHeight="1" x14ac:dyDescent="0.3">
      <c r="A56" s="235">
        <v>4</v>
      </c>
      <c r="B56" s="236" t="s">
        <v>437</v>
      </c>
      <c r="C56" s="237">
        <v>5800111</v>
      </c>
      <c r="D56" s="237">
        <v>1373836</v>
      </c>
      <c r="E56" s="237">
        <f t="shared" si="6"/>
        <v>-4426275</v>
      </c>
      <c r="F56" s="238">
        <f t="shared" si="7"/>
        <v>-0.76313625721990497</v>
      </c>
    </row>
    <row r="57" spans="1:6" ht="20.25" customHeight="1" x14ac:dyDescent="0.3">
      <c r="A57" s="235">
        <v>5</v>
      </c>
      <c r="B57" s="236" t="s">
        <v>373</v>
      </c>
      <c r="C57" s="239">
        <v>1623</v>
      </c>
      <c r="D57" s="239">
        <v>448</v>
      </c>
      <c r="E57" s="239">
        <f t="shared" si="6"/>
        <v>-1175</v>
      </c>
      <c r="F57" s="238">
        <f t="shared" si="7"/>
        <v>-0.72396796056685153</v>
      </c>
    </row>
    <row r="58" spans="1:6" ht="20.25" customHeight="1" x14ac:dyDescent="0.3">
      <c r="A58" s="235">
        <v>6</v>
      </c>
      <c r="B58" s="236" t="s">
        <v>372</v>
      </c>
      <c r="C58" s="239">
        <v>11261</v>
      </c>
      <c r="D58" s="239">
        <v>3518</v>
      </c>
      <c r="E58" s="239">
        <f t="shared" si="6"/>
        <v>-7743</v>
      </c>
      <c r="F58" s="238">
        <f t="shared" si="7"/>
        <v>-0.6875943521889708</v>
      </c>
    </row>
    <row r="59" spans="1:6" ht="20.25" customHeight="1" x14ac:dyDescent="0.3">
      <c r="A59" s="235">
        <v>7</v>
      </c>
      <c r="B59" s="236" t="s">
        <v>438</v>
      </c>
      <c r="C59" s="239">
        <v>5608</v>
      </c>
      <c r="D59" s="239">
        <v>1535</v>
      </c>
      <c r="E59" s="239">
        <f t="shared" si="6"/>
        <v>-4073</v>
      </c>
      <c r="F59" s="238">
        <f t="shared" si="7"/>
        <v>-0.72628388017118406</v>
      </c>
    </row>
    <row r="60" spans="1:6" ht="20.25" customHeight="1" x14ac:dyDescent="0.3">
      <c r="A60" s="235">
        <v>8</v>
      </c>
      <c r="B60" s="236" t="s">
        <v>439</v>
      </c>
      <c r="C60" s="239">
        <v>1199</v>
      </c>
      <c r="D60" s="239">
        <v>294</v>
      </c>
      <c r="E60" s="239">
        <f t="shared" si="6"/>
        <v>-905</v>
      </c>
      <c r="F60" s="238">
        <f t="shared" si="7"/>
        <v>-0.75479566305254375</v>
      </c>
    </row>
    <row r="61" spans="1:6" ht="20.25" customHeight="1" x14ac:dyDescent="0.3">
      <c r="A61" s="235">
        <v>9</v>
      </c>
      <c r="B61" s="236" t="s">
        <v>440</v>
      </c>
      <c r="C61" s="239">
        <v>1211</v>
      </c>
      <c r="D61" s="239">
        <v>362</v>
      </c>
      <c r="E61" s="239">
        <f t="shared" si="6"/>
        <v>-849</v>
      </c>
      <c r="F61" s="238">
        <f t="shared" si="7"/>
        <v>-0.70107349298100741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108728254</v>
      </c>
      <c r="D62" s="243">
        <f>+D53+D55</f>
        <v>31710116</v>
      </c>
      <c r="E62" s="243">
        <f t="shared" si="6"/>
        <v>-77018138</v>
      </c>
      <c r="F62" s="244">
        <f t="shared" si="7"/>
        <v>-0.70835440804558492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29907302</v>
      </c>
      <c r="D63" s="243">
        <f>+D54+D56</f>
        <v>7878194</v>
      </c>
      <c r="E63" s="243">
        <f t="shared" si="6"/>
        <v>-22029108</v>
      </c>
      <c r="F63" s="244">
        <f t="shared" si="7"/>
        <v>-0.73657958180246419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16427325</v>
      </c>
      <c r="D66" s="237">
        <v>62567805</v>
      </c>
      <c r="E66" s="237">
        <f t="shared" ref="E66:E76" si="8">D66-C66</f>
        <v>46140480</v>
      </c>
      <c r="F66" s="238">
        <f t="shared" ref="F66:F76" si="9">IF(C66=0,0,E66/C66)</f>
        <v>2.8087640562294833</v>
      </c>
    </row>
    <row r="67" spans="1:6" ht="20.25" customHeight="1" x14ac:dyDescent="0.3">
      <c r="A67" s="235">
        <v>2</v>
      </c>
      <c r="B67" s="236" t="s">
        <v>435</v>
      </c>
      <c r="C67" s="237">
        <v>4777446</v>
      </c>
      <c r="D67" s="237">
        <v>18693890</v>
      </c>
      <c r="E67" s="237">
        <f t="shared" si="8"/>
        <v>13916444</v>
      </c>
      <c r="F67" s="238">
        <f t="shared" si="9"/>
        <v>2.9129463734388623</v>
      </c>
    </row>
    <row r="68" spans="1:6" ht="20.25" customHeight="1" x14ac:dyDescent="0.3">
      <c r="A68" s="235">
        <v>3</v>
      </c>
      <c r="B68" s="236" t="s">
        <v>436</v>
      </c>
      <c r="C68" s="237">
        <v>5732255</v>
      </c>
      <c r="D68" s="237">
        <v>29963594</v>
      </c>
      <c r="E68" s="237">
        <f t="shared" si="8"/>
        <v>24231339</v>
      </c>
      <c r="F68" s="238">
        <f t="shared" si="9"/>
        <v>4.2271913932649543</v>
      </c>
    </row>
    <row r="69" spans="1:6" ht="20.25" customHeight="1" x14ac:dyDescent="0.3">
      <c r="A69" s="235">
        <v>4</v>
      </c>
      <c r="B69" s="236" t="s">
        <v>437</v>
      </c>
      <c r="C69" s="237">
        <v>1390204</v>
      </c>
      <c r="D69" s="237">
        <v>7240373</v>
      </c>
      <c r="E69" s="237">
        <f t="shared" si="8"/>
        <v>5850169</v>
      </c>
      <c r="F69" s="238">
        <f t="shared" si="9"/>
        <v>4.2081370791624826</v>
      </c>
    </row>
    <row r="70" spans="1:6" ht="20.25" customHeight="1" x14ac:dyDescent="0.3">
      <c r="A70" s="235">
        <v>5</v>
      </c>
      <c r="B70" s="236" t="s">
        <v>373</v>
      </c>
      <c r="C70" s="239">
        <v>304</v>
      </c>
      <c r="D70" s="239">
        <v>1325</v>
      </c>
      <c r="E70" s="239">
        <f t="shared" si="8"/>
        <v>1021</v>
      </c>
      <c r="F70" s="238">
        <f t="shared" si="9"/>
        <v>3.3585526315789473</v>
      </c>
    </row>
    <row r="71" spans="1:6" ht="20.25" customHeight="1" x14ac:dyDescent="0.3">
      <c r="A71" s="235">
        <v>6</v>
      </c>
      <c r="B71" s="236" t="s">
        <v>372</v>
      </c>
      <c r="C71" s="239">
        <v>2201</v>
      </c>
      <c r="D71" s="239">
        <v>8346</v>
      </c>
      <c r="E71" s="239">
        <f t="shared" si="8"/>
        <v>6145</v>
      </c>
      <c r="F71" s="238">
        <f t="shared" si="9"/>
        <v>2.7919127669241255</v>
      </c>
    </row>
    <row r="72" spans="1:6" ht="20.25" customHeight="1" x14ac:dyDescent="0.3">
      <c r="A72" s="235">
        <v>7</v>
      </c>
      <c r="B72" s="236" t="s">
        <v>438</v>
      </c>
      <c r="C72" s="239">
        <v>1368</v>
      </c>
      <c r="D72" s="239">
        <v>6656</v>
      </c>
      <c r="E72" s="239">
        <f t="shared" si="8"/>
        <v>5288</v>
      </c>
      <c r="F72" s="238">
        <f t="shared" si="9"/>
        <v>3.865497076023392</v>
      </c>
    </row>
    <row r="73" spans="1:6" ht="20.25" customHeight="1" x14ac:dyDescent="0.3">
      <c r="A73" s="235">
        <v>8</v>
      </c>
      <c r="B73" s="236" t="s">
        <v>439</v>
      </c>
      <c r="C73" s="239">
        <v>413</v>
      </c>
      <c r="D73" s="239">
        <v>1344</v>
      </c>
      <c r="E73" s="239">
        <f t="shared" si="8"/>
        <v>931</v>
      </c>
      <c r="F73" s="238">
        <f t="shared" si="9"/>
        <v>2.2542372881355934</v>
      </c>
    </row>
    <row r="74" spans="1:6" ht="20.25" customHeight="1" x14ac:dyDescent="0.3">
      <c r="A74" s="235">
        <v>9</v>
      </c>
      <c r="B74" s="236" t="s">
        <v>440</v>
      </c>
      <c r="C74" s="239">
        <v>229</v>
      </c>
      <c r="D74" s="239">
        <v>1026</v>
      </c>
      <c r="E74" s="239">
        <f t="shared" si="8"/>
        <v>797</v>
      </c>
      <c r="F74" s="238">
        <f t="shared" si="9"/>
        <v>3.4803493449781659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22159580</v>
      </c>
      <c r="D75" s="243">
        <f>+D66+D68</f>
        <v>92531399</v>
      </c>
      <c r="E75" s="243">
        <f t="shared" si="8"/>
        <v>70371819</v>
      </c>
      <c r="F75" s="244">
        <f t="shared" si="9"/>
        <v>3.1756837900357318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6167650</v>
      </c>
      <c r="D76" s="243">
        <f>+D67+D69</f>
        <v>25934263</v>
      </c>
      <c r="E76" s="243">
        <f t="shared" si="8"/>
        <v>19766613</v>
      </c>
      <c r="F76" s="244">
        <f t="shared" si="9"/>
        <v>3.2048856533687871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46958</v>
      </c>
      <c r="D79" s="237">
        <v>463443</v>
      </c>
      <c r="E79" s="237">
        <f t="shared" ref="E79:E89" si="10">D79-C79</f>
        <v>416485</v>
      </c>
      <c r="F79" s="238">
        <f t="shared" ref="F79:F89" si="11">IF(C79=0,0,E79/C79)</f>
        <v>8.8693087439839857</v>
      </c>
    </row>
    <row r="80" spans="1:6" ht="20.25" customHeight="1" x14ac:dyDescent="0.3">
      <c r="A80" s="235">
        <v>2</v>
      </c>
      <c r="B80" s="236" t="s">
        <v>435</v>
      </c>
      <c r="C80" s="237">
        <v>15351</v>
      </c>
      <c r="D80" s="237">
        <v>124637</v>
      </c>
      <c r="E80" s="237">
        <f t="shared" si="10"/>
        <v>109286</v>
      </c>
      <c r="F80" s="238">
        <f t="shared" si="11"/>
        <v>7.119145332551625</v>
      </c>
    </row>
    <row r="81" spans="1:6" ht="20.25" customHeight="1" x14ac:dyDescent="0.3">
      <c r="A81" s="235">
        <v>3</v>
      </c>
      <c r="B81" s="236" t="s">
        <v>436</v>
      </c>
      <c r="C81" s="237">
        <v>76771</v>
      </c>
      <c r="D81" s="237">
        <v>159738</v>
      </c>
      <c r="E81" s="237">
        <f t="shared" si="10"/>
        <v>82967</v>
      </c>
      <c r="F81" s="238">
        <f t="shared" si="11"/>
        <v>1.0807075588438342</v>
      </c>
    </row>
    <row r="82" spans="1:6" ht="20.25" customHeight="1" x14ac:dyDescent="0.3">
      <c r="A82" s="235">
        <v>4</v>
      </c>
      <c r="B82" s="236" t="s">
        <v>437</v>
      </c>
      <c r="C82" s="237">
        <v>24553</v>
      </c>
      <c r="D82" s="237">
        <v>58158</v>
      </c>
      <c r="E82" s="237">
        <f t="shared" si="10"/>
        <v>33605</v>
      </c>
      <c r="F82" s="238">
        <f t="shared" si="11"/>
        <v>1.3686718527267543</v>
      </c>
    </row>
    <row r="83" spans="1:6" ht="20.25" customHeight="1" x14ac:dyDescent="0.3">
      <c r="A83" s="235">
        <v>5</v>
      </c>
      <c r="B83" s="236" t="s">
        <v>373</v>
      </c>
      <c r="C83" s="239">
        <v>1</v>
      </c>
      <c r="D83" s="239">
        <v>11</v>
      </c>
      <c r="E83" s="239">
        <f t="shared" si="10"/>
        <v>10</v>
      </c>
      <c r="F83" s="238">
        <f t="shared" si="11"/>
        <v>10</v>
      </c>
    </row>
    <row r="84" spans="1:6" ht="20.25" customHeight="1" x14ac:dyDescent="0.3">
      <c r="A84" s="235">
        <v>6</v>
      </c>
      <c r="B84" s="236" t="s">
        <v>372</v>
      </c>
      <c r="C84" s="239">
        <v>3</v>
      </c>
      <c r="D84" s="239">
        <v>44</v>
      </c>
      <c r="E84" s="239">
        <f t="shared" si="10"/>
        <v>41</v>
      </c>
      <c r="F84" s="238">
        <f t="shared" si="11"/>
        <v>13.666666666666666</v>
      </c>
    </row>
    <row r="85" spans="1:6" ht="20.25" customHeight="1" x14ac:dyDescent="0.3">
      <c r="A85" s="235">
        <v>7</v>
      </c>
      <c r="B85" s="236" t="s">
        <v>438</v>
      </c>
      <c r="C85" s="239">
        <v>11</v>
      </c>
      <c r="D85" s="239">
        <v>31</v>
      </c>
      <c r="E85" s="239">
        <f t="shared" si="10"/>
        <v>20</v>
      </c>
      <c r="F85" s="238">
        <f t="shared" si="11"/>
        <v>1.8181818181818181</v>
      </c>
    </row>
    <row r="86" spans="1:6" ht="20.25" customHeight="1" x14ac:dyDescent="0.3">
      <c r="A86" s="235">
        <v>8</v>
      </c>
      <c r="B86" s="236" t="s">
        <v>439</v>
      </c>
      <c r="C86" s="239">
        <v>5</v>
      </c>
      <c r="D86" s="239">
        <v>3</v>
      </c>
      <c r="E86" s="239">
        <f t="shared" si="10"/>
        <v>-2</v>
      </c>
      <c r="F86" s="238">
        <f t="shared" si="11"/>
        <v>-0.4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5</v>
      </c>
      <c r="E87" s="239">
        <f t="shared" si="10"/>
        <v>5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123729</v>
      </c>
      <c r="D88" s="243">
        <f>+D79+D81</f>
        <v>623181</v>
      </c>
      <c r="E88" s="243">
        <f t="shared" si="10"/>
        <v>499452</v>
      </c>
      <c r="F88" s="244">
        <f t="shared" si="11"/>
        <v>4.0366607666755572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39904</v>
      </c>
      <c r="D89" s="243">
        <f>+D80+D82</f>
        <v>182795</v>
      </c>
      <c r="E89" s="243">
        <f t="shared" si="10"/>
        <v>142891</v>
      </c>
      <c r="F89" s="244">
        <f t="shared" si="11"/>
        <v>3.5808690858059342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4770326</v>
      </c>
      <c r="D105" s="237">
        <v>4670960</v>
      </c>
      <c r="E105" s="237">
        <f t="shared" ref="E105:E115" si="14">D105-C105</f>
        <v>-99366</v>
      </c>
      <c r="F105" s="238">
        <f t="shared" ref="F105:F115" si="15">IF(C105=0,0,E105/C105)</f>
        <v>-2.0830022937635709E-2</v>
      </c>
    </row>
    <row r="106" spans="1:6" ht="20.25" customHeight="1" x14ac:dyDescent="0.3">
      <c r="A106" s="235">
        <v>2</v>
      </c>
      <c r="B106" s="236" t="s">
        <v>435</v>
      </c>
      <c r="C106" s="237">
        <v>1388855</v>
      </c>
      <c r="D106" s="237">
        <v>1317379</v>
      </c>
      <c r="E106" s="237">
        <f t="shared" si="14"/>
        <v>-71476</v>
      </c>
      <c r="F106" s="238">
        <f t="shared" si="15"/>
        <v>-5.1463975721007596E-2</v>
      </c>
    </row>
    <row r="107" spans="1:6" ht="20.25" customHeight="1" x14ac:dyDescent="0.3">
      <c r="A107" s="235">
        <v>3</v>
      </c>
      <c r="B107" s="236" t="s">
        <v>436</v>
      </c>
      <c r="C107" s="237">
        <v>2268827</v>
      </c>
      <c r="D107" s="237">
        <v>3138232</v>
      </c>
      <c r="E107" s="237">
        <f t="shared" si="14"/>
        <v>869405</v>
      </c>
      <c r="F107" s="238">
        <f t="shared" si="15"/>
        <v>0.38319580999344593</v>
      </c>
    </row>
    <row r="108" spans="1:6" ht="20.25" customHeight="1" x14ac:dyDescent="0.3">
      <c r="A108" s="235">
        <v>4</v>
      </c>
      <c r="B108" s="236" t="s">
        <v>437</v>
      </c>
      <c r="C108" s="237">
        <v>497182</v>
      </c>
      <c r="D108" s="237">
        <v>682041</v>
      </c>
      <c r="E108" s="237">
        <f t="shared" si="14"/>
        <v>184859</v>
      </c>
      <c r="F108" s="238">
        <f t="shared" si="15"/>
        <v>0.37181354111773957</v>
      </c>
    </row>
    <row r="109" spans="1:6" ht="20.25" customHeight="1" x14ac:dyDescent="0.3">
      <c r="A109" s="235">
        <v>5</v>
      </c>
      <c r="B109" s="236" t="s">
        <v>373</v>
      </c>
      <c r="C109" s="239">
        <v>118</v>
      </c>
      <c r="D109" s="239">
        <v>103</v>
      </c>
      <c r="E109" s="239">
        <f t="shared" si="14"/>
        <v>-15</v>
      </c>
      <c r="F109" s="238">
        <f t="shared" si="15"/>
        <v>-0.1271186440677966</v>
      </c>
    </row>
    <row r="110" spans="1:6" ht="20.25" customHeight="1" x14ac:dyDescent="0.3">
      <c r="A110" s="235">
        <v>6</v>
      </c>
      <c r="B110" s="236" t="s">
        <v>372</v>
      </c>
      <c r="C110" s="239">
        <v>830</v>
      </c>
      <c r="D110" s="239">
        <v>646</v>
      </c>
      <c r="E110" s="239">
        <f t="shared" si="14"/>
        <v>-184</v>
      </c>
      <c r="F110" s="238">
        <f t="shared" si="15"/>
        <v>-0.22168674698795179</v>
      </c>
    </row>
    <row r="111" spans="1:6" ht="20.25" customHeight="1" x14ac:dyDescent="0.3">
      <c r="A111" s="235">
        <v>7</v>
      </c>
      <c r="B111" s="236" t="s">
        <v>438</v>
      </c>
      <c r="C111" s="239">
        <v>811</v>
      </c>
      <c r="D111" s="239">
        <v>939</v>
      </c>
      <c r="E111" s="239">
        <f t="shared" si="14"/>
        <v>128</v>
      </c>
      <c r="F111" s="238">
        <f t="shared" si="15"/>
        <v>0.15782983970406905</v>
      </c>
    </row>
    <row r="112" spans="1:6" ht="20.25" customHeight="1" x14ac:dyDescent="0.3">
      <c r="A112" s="235">
        <v>8</v>
      </c>
      <c r="B112" s="236" t="s">
        <v>439</v>
      </c>
      <c r="C112" s="239">
        <v>253</v>
      </c>
      <c r="D112" s="239">
        <v>307</v>
      </c>
      <c r="E112" s="239">
        <f t="shared" si="14"/>
        <v>54</v>
      </c>
      <c r="F112" s="238">
        <f t="shared" si="15"/>
        <v>0.2134387351778656</v>
      </c>
    </row>
    <row r="113" spans="1:6" ht="20.25" customHeight="1" x14ac:dyDescent="0.3">
      <c r="A113" s="235">
        <v>9</v>
      </c>
      <c r="B113" s="236" t="s">
        <v>440</v>
      </c>
      <c r="C113" s="239">
        <v>102</v>
      </c>
      <c r="D113" s="239">
        <v>90</v>
      </c>
      <c r="E113" s="239">
        <f t="shared" si="14"/>
        <v>-12</v>
      </c>
      <c r="F113" s="238">
        <f t="shared" si="15"/>
        <v>-0.11764705882352941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7039153</v>
      </c>
      <c r="D114" s="243">
        <f>+D105+D107</f>
        <v>7809192</v>
      </c>
      <c r="E114" s="243">
        <f t="shared" si="14"/>
        <v>770039</v>
      </c>
      <c r="F114" s="244">
        <f t="shared" si="15"/>
        <v>0.10939370120240319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1886037</v>
      </c>
      <c r="D115" s="243">
        <f>+D106+D108</f>
        <v>1999420</v>
      </c>
      <c r="E115" s="243">
        <f t="shared" si="14"/>
        <v>113383</v>
      </c>
      <c r="F115" s="244">
        <f t="shared" si="15"/>
        <v>6.0117060269761408E-2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15338</v>
      </c>
      <c r="D120" s="237">
        <v>0</v>
      </c>
      <c r="E120" s="237">
        <f t="shared" si="16"/>
        <v>-15338</v>
      </c>
      <c r="F120" s="238">
        <f t="shared" si="17"/>
        <v>-1</v>
      </c>
    </row>
    <row r="121" spans="1:6" ht="20.25" customHeight="1" x14ac:dyDescent="0.3">
      <c r="A121" s="235">
        <v>4</v>
      </c>
      <c r="B121" s="236" t="s">
        <v>437</v>
      </c>
      <c r="C121" s="237">
        <v>2455</v>
      </c>
      <c r="D121" s="237">
        <v>0</v>
      </c>
      <c r="E121" s="237">
        <f t="shared" si="16"/>
        <v>-2455</v>
      </c>
      <c r="F121" s="238">
        <f t="shared" si="17"/>
        <v>-1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8</v>
      </c>
      <c r="D124" s="239">
        <v>0</v>
      </c>
      <c r="E124" s="239">
        <f t="shared" si="16"/>
        <v>-8</v>
      </c>
      <c r="F124" s="238">
        <f t="shared" si="17"/>
        <v>-1</v>
      </c>
    </row>
    <row r="125" spans="1:6" ht="20.25" customHeight="1" x14ac:dyDescent="0.3">
      <c r="A125" s="235">
        <v>8</v>
      </c>
      <c r="B125" s="236" t="s">
        <v>439</v>
      </c>
      <c r="C125" s="239">
        <v>12</v>
      </c>
      <c r="D125" s="239">
        <v>0</v>
      </c>
      <c r="E125" s="239">
        <f t="shared" si="16"/>
        <v>-12</v>
      </c>
      <c r="F125" s="238">
        <f t="shared" si="17"/>
        <v>-1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15338</v>
      </c>
      <c r="D127" s="243">
        <f>+D118+D120</f>
        <v>0</v>
      </c>
      <c r="E127" s="243">
        <f t="shared" si="16"/>
        <v>-15338</v>
      </c>
      <c r="F127" s="244">
        <f t="shared" si="17"/>
        <v>-1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2455</v>
      </c>
      <c r="D128" s="243">
        <f>+D119+D121</f>
        <v>0</v>
      </c>
      <c r="E128" s="243">
        <f t="shared" si="16"/>
        <v>-2455</v>
      </c>
      <c r="F128" s="244">
        <f t="shared" si="17"/>
        <v>-1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5" t="s">
        <v>44</v>
      </c>
      <c r="B195" s="686" t="s">
        <v>459</v>
      </c>
      <c r="C195" s="688"/>
      <c r="D195" s="689"/>
      <c r="E195" s="689"/>
      <c r="F195" s="690"/>
      <c r="G195" s="674"/>
      <c r="H195" s="674"/>
      <c r="I195" s="674"/>
    </row>
    <row r="196" spans="1:9" ht="20.25" customHeight="1" x14ac:dyDescent="0.3">
      <c r="A196" s="676"/>
      <c r="B196" s="687"/>
      <c r="C196" s="682"/>
      <c r="D196" s="683"/>
      <c r="E196" s="683"/>
      <c r="F196" s="684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103587801</v>
      </c>
      <c r="D198" s="243">
        <f t="shared" si="28"/>
        <v>99011240</v>
      </c>
      <c r="E198" s="243">
        <f t="shared" ref="E198:E208" si="29">D198-C198</f>
        <v>-4576561</v>
      </c>
      <c r="F198" s="251">
        <f t="shared" ref="F198:F208" si="30">IF(C198=0,0,E198/C198)</f>
        <v>-4.4180501524499011E-2</v>
      </c>
    </row>
    <row r="199" spans="1:9" ht="20.25" customHeight="1" x14ac:dyDescent="0.3">
      <c r="A199" s="249"/>
      <c r="B199" s="250" t="s">
        <v>461</v>
      </c>
      <c r="C199" s="243">
        <f t="shared" si="28"/>
        <v>30728337</v>
      </c>
      <c r="D199" s="243">
        <f t="shared" si="28"/>
        <v>28656812</v>
      </c>
      <c r="E199" s="243">
        <f t="shared" si="29"/>
        <v>-2071525</v>
      </c>
      <c r="F199" s="251">
        <f t="shared" si="30"/>
        <v>-6.7414159119642561E-2</v>
      </c>
    </row>
    <row r="200" spans="1:9" ht="20.25" customHeight="1" x14ac:dyDescent="0.3">
      <c r="A200" s="249"/>
      <c r="B200" s="250" t="s">
        <v>462</v>
      </c>
      <c r="C200" s="243">
        <f t="shared" si="28"/>
        <v>37622903</v>
      </c>
      <c r="D200" s="243">
        <f t="shared" si="28"/>
        <v>44340109</v>
      </c>
      <c r="E200" s="243">
        <f t="shared" si="29"/>
        <v>6717206</v>
      </c>
      <c r="F200" s="251">
        <f t="shared" si="30"/>
        <v>0.17854034283319392</v>
      </c>
    </row>
    <row r="201" spans="1:9" ht="20.25" customHeight="1" x14ac:dyDescent="0.3">
      <c r="A201" s="249"/>
      <c r="B201" s="250" t="s">
        <v>463</v>
      </c>
      <c r="C201" s="243">
        <f t="shared" si="28"/>
        <v>8042380</v>
      </c>
      <c r="D201" s="243">
        <f t="shared" si="28"/>
        <v>10039772</v>
      </c>
      <c r="E201" s="243">
        <f t="shared" si="29"/>
        <v>1997392</v>
      </c>
      <c r="F201" s="251">
        <f t="shared" si="30"/>
        <v>0.24835832179031581</v>
      </c>
    </row>
    <row r="202" spans="1:9" ht="20.25" customHeight="1" x14ac:dyDescent="0.3">
      <c r="A202" s="249"/>
      <c r="B202" s="250" t="s">
        <v>464</v>
      </c>
      <c r="C202" s="252">
        <f t="shared" si="28"/>
        <v>2069</v>
      </c>
      <c r="D202" s="252">
        <f t="shared" si="28"/>
        <v>2029</v>
      </c>
      <c r="E202" s="252">
        <f t="shared" si="29"/>
        <v>-40</v>
      </c>
      <c r="F202" s="251">
        <f t="shared" si="30"/>
        <v>-1.9333011116481391E-2</v>
      </c>
    </row>
    <row r="203" spans="1:9" ht="20.25" customHeight="1" x14ac:dyDescent="0.3">
      <c r="A203" s="249"/>
      <c r="B203" s="250" t="s">
        <v>465</v>
      </c>
      <c r="C203" s="252">
        <f t="shared" si="28"/>
        <v>14522</v>
      </c>
      <c r="D203" s="252">
        <f t="shared" si="28"/>
        <v>13621</v>
      </c>
      <c r="E203" s="252">
        <f t="shared" si="29"/>
        <v>-901</v>
      </c>
      <c r="F203" s="251">
        <f t="shared" si="30"/>
        <v>-6.2043795620437957E-2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7957</v>
      </c>
      <c r="D204" s="252">
        <f t="shared" si="28"/>
        <v>9925</v>
      </c>
      <c r="E204" s="252">
        <f t="shared" si="29"/>
        <v>1968</v>
      </c>
      <c r="F204" s="251">
        <f t="shared" si="30"/>
        <v>0.2473293955008169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1905</v>
      </c>
      <c r="D205" s="252">
        <f t="shared" si="28"/>
        <v>2048</v>
      </c>
      <c r="E205" s="252">
        <f t="shared" si="29"/>
        <v>143</v>
      </c>
      <c r="F205" s="251">
        <f t="shared" si="30"/>
        <v>7.5065616797900261E-2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1555</v>
      </c>
      <c r="D206" s="252">
        <f t="shared" si="28"/>
        <v>1590</v>
      </c>
      <c r="E206" s="252">
        <f t="shared" si="29"/>
        <v>35</v>
      </c>
      <c r="F206" s="251">
        <f t="shared" si="30"/>
        <v>2.2508038585209004E-2</v>
      </c>
    </row>
    <row r="207" spans="1:9" ht="20.25" customHeight="1" x14ac:dyDescent="0.3">
      <c r="A207" s="249"/>
      <c r="B207" s="242" t="s">
        <v>469</v>
      </c>
      <c r="C207" s="243">
        <f>+C198+C200</f>
        <v>141210704</v>
      </c>
      <c r="D207" s="243">
        <f>+D198+D200</f>
        <v>143351349</v>
      </c>
      <c r="E207" s="243">
        <f t="shared" si="29"/>
        <v>2140645</v>
      </c>
      <c r="F207" s="251">
        <f t="shared" si="30"/>
        <v>1.515922617310937E-2</v>
      </c>
    </row>
    <row r="208" spans="1:9" ht="20.25" customHeight="1" x14ac:dyDescent="0.3">
      <c r="A208" s="249"/>
      <c r="B208" s="242" t="s">
        <v>470</v>
      </c>
      <c r="C208" s="243">
        <f>+C199+C201</f>
        <v>38770717</v>
      </c>
      <c r="D208" s="243">
        <f>+D199+D201</f>
        <v>38696584</v>
      </c>
      <c r="E208" s="243">
        <f t="shared" si="29"/>
        <v>-74133</v>
      </c>
      <c r="F208" s="251">
        <f t="shared" si="30"/>
        <v>-1.9120874138076941E-3</v>
      </c>
    </row>
  </sheetData>
  <mergeCells count="12">
    <mergeCell ref="A2:F2"/>
    <mergeCell ref="A3:F3"/>
    <mergeCell ref="A4:F4"/>
    <mergeCell ref="A5:F5"/>
    <mergeCell ref="C9:F9"/>
    <mergeCell ref="G195:I196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1" t="s">
        <v>0</v>
      </c>
      <c r="B2" s="691"/>
      <c r="C2" s="691"/>
      <c r="D2" s="691"/>
      <c r="E2" s="691"/>
      <c r="F2" s="691"/>
    </row>
    <row r="3" spans="1:7" ht="20.25" customHeight="1" x14ac:dyDescent="0.3">
      <c r="A3" s="691" t="s">
        <v>1</v>
      </c>
      <c r="B3" s="691"/>
      <c r="C3" s="691"/>
      <c r="D3" s="691"/>
      <c r="E3" s="691"/>
      <c r="F3" s="691"/>
    </row>
    <row r="4" spans="1:7" ht="20.25" customHeight="1" x14ac:dyDescent="0.3">
      <c r="A4" s="691" t="s">
        <v>2</v>
      </c>
      <c r="B4" s="691"/>
      <c r="C4" s="691"/>
      <c r="D4" s="691"/>
      <c r="E4" s="691"/>
      <c r="F4" s="691"/>
    </row>
    <row r="5" spans="1:7" ht="20.25" customHeight="1" x14ac:dyDescent="0.3">
      <c r="A5" s="691" t="s">
        <v>471</v>
      </c>
      <c r="B5" s="691"/>
      <c r="C5" s="691"/>
      <c r="D5" s="691"/>
      <c r="E5" s="691"/>
      <c r="F5" s="691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5" t="s">
        <v>12</v>
      </c>
      <c r="B10" s="686" t="s">
        <v>115</v>
      </c>
      <c r="C10" s="688"/>
      <c r="D10" s="689"/>
      <c r="E10" s="689"/>
      <c r="F10" s="690"/>
    </row>
    <row r="11" spans="1:7" ht="20.25" customHeight="1" x14ac:dyDescent="0.3">
      <c r="A11" s="676"/>
      <c r="B11" s="687"/>
      <c r="C11" s="682"/>
      <c r="D11" s="683"/>
      <c r="E11" s="683"/>
      <c r="F11" s="684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37186015</v>
      </c>
      <c r="D26" s="237">
        <v>32612785</v>
      </c>
      <c r="E26" s="237">
        <f t="shared" ref="E26:E36" si="2">D26-C26</f>
        <v>-4573230</v>
      </c>
      <c r="F26" s="238">
        <f t="shared" ref="F26:F36" si="3">IF(C26=0,0,E26/C26)</f>
        <v>-0.12298252447862455</v>
      </c>
    </row>
    <row r="27" spans="1:6" ht="20.25" customHeight="1" x14ac:dyDescent="0.3">
      <c r="A27" s="235">
        <v>2</v>
      </c>
      <c r="B27" s="236" t="s">
        <v>435</v>
      </c>
      <c r="C27" s="237">
        <v>8029726</v>
      </c>
      <c r="D27" s="237">
        <v>6977538</v>
      </c>
      <c r="E27" s="237">
        <f t="shared" si="2"/>
        <v>-1052188</v>
      </c>
      <c r="F27" s="238">
        <f t="shared" si="3"/>
        <v>-0.13103660075076037</v>
      </c>
    </row>
    <row r="28" spans="1:6" ht="20.25" customHeight="1" x14ac:dyDescent="0.3">
      <c r="A28" s="235">
        <v>3</v>
      </c>
      <c r="B28" s="236" t="s">
        <v>436</v>
      </c>
      <c r="C28" s="237">
        <v>49587736</v>
      </c>
      <c r="D28" s="237">
        <v>53369672</v>
      </c>
      <c r="E28" s="237">
        <f t="shared" si="2"/>
        <v>3781936</v>
      </c>
      <c r="F28" s="238">
        <f t="shared" si="3"/>
        <v>7.6267567448532025E-2</v>
      </c>
    </row>
    <row r="29" spans="1:6" ht="20.25" customHeight="1" x14ac:dyDescent="0.3">
      <c r="A29" s="235">
        <v>4</v>
      </c>
      <c r="B29" s="236" t="s">
        <v>437</v>
      </c>
      <c r="C29" s="237">
        <v>8821982</v>
      </c>
      <c r="D29" s="237">
        <v>9935120</v>
      </c>
      <c r="E29" s="237">
        <f t="shared" si="2"/>
        <v>1113138</v>
      </c>
      <c r="F29" s="238">
        <f t="shared" si="3"/>
        <v>0.12617776821580456</v>
      </c>
    </row>
    <row r="30" spans="1:6" ht="20.25" customHeight="1" x14ac:dyDescent="0.3">
      <c r="A30" s="235">
        <v>5</v>
      </c>
      <c r="B30" s="236" t="s">
        <v>373</v>
      </c>
      <c r="C30" s="239">
        <v>1684</v>
      </c>
      <c r="D30" s="239">
        <v>1615</v>
      </c>
      <c r="E30" s="239">
        <f t="shared" si="2"/>
        <v>-69</v>
      </c>
      <c r="F30" s="238">
        <f t="shared" si="3"/>
        <v>-4.0973871733966744E-2</v>
      </c>
    </row>
    <row r="31" spans="1:6" ht="20.25" customHeight="1" x14ac:dyDescent="0.3">
      <c r="A31" s="235">
        <v>6</v>
      </c>
      <c r="B31" s="236" t="s">
        <v>372</v>
      </c>
      <c r="C31" s="239">
        <v>6255</v>
      </c>
      <c r="D31" s="239">
        <v>5098</v>
      </c>
      <c r="E31" s="239">
        <f t="shared" si="2"/>
        <v>-1157</v>
      </c>
      <c r="F31" s="238">
        <f t="shared" si="3"/>
        <v>-0.18497202238209431</v>
      </c>
    </row>
    <row r="32" spans="1:6" ht="20.25" customHeight="1" x14ac:dyDescent="0.3">
      <c r="A32" s="235">
        <v>7</v>
      </c>
      <c r="B32" s="236" t="s">
        <v>438</v>
      </c>
      <c r="C32" s="239">
        <v>18074</v>
      </c>
      <c r="D32" s="239">
        <v>18610</v>
      </c>
      <c r="E32" s="239">
        <f t="shared" si="2"/>
        <v>536</v>
      </c>
      <c r="F32" s="238">
        <f t="shared" si="3"/>
        <v>2.9655859245324778E-2</v>
      </c>
    </row>
    <row r="33" spans="1:6" ht="20.25" customHeight="1" x14ac:dyDescent="0.3">
      <c r="A33" s="235">
        <v>8</v>
      </c>
      <c r="B33" s="236" t="s">
        <v>439</v>
      </c>
      <c r="C33" s="239">
        <v>12900</v>
      </c>
      <c r="D33" s="239">
        <v>12753</v>
      </c>
      <c r="E33" s="239">
        <f t="shared" si="2"/>
        <v>-147</v>
      </c>
      <c r="F33" s="238">
        <f t="shared" si="3"/>
        <v>-1.1395348837209301E-2</v>
      </c>
    </row>
    <row r="34" spans="1:6" ht="20.25" customHeight="1" x14ac:dyDescent="0.3">
      <c r="A34" s="235">
        <v>9</v>
      </c>
      <c r="B34" s="236" t="s">
        <v>440</v>
      </c>
      <c r="C34" s="239">
        <v>628</v>
      </c>
      <c r="D34" s="239">
        <v>593</v>
      </c>
      <c r="E34" s="239">
        <f t="shared" si="2"/>
        <v>-35</v>
      </c>
      <c r="F34" s="238">
        <f t="shared" si="3"/>
        <v>-5.5732484076433123E-2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86773751</v>
      </c>
      <c r="D35" s="243">
        <f>+D26+D28</f>
        <v>85982457</v>
      </c>
      <c r="E35" s="243">
        <f t="shared" si="2"/>
        <v>-791294</v>
      </c>
      <c r="F35" s="244">
        <f t="shared" si="3"/>
        <v>-9.1190479941336174E-3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16851708</v>
      </c>
      <c r="D36" s="243">
        <f>+D27+D29</f>
        <v>16912658</v>
      </c>
      <c r="E36" s="243">
        <f t="shared" si="2"/>
        <v>60950</v>
      </c>
      <c r="F36" s="244">
        <f t="shared" si="3"/>
        <v>3.6168440611479857E-3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10051212</v>
      </c>
      <c r="D38" s="237">
        <v>12027156</v>
      </c>
      <c r="E38" s="237">
        <f t="shared" ref="E38:E48" si="4">D38-C38</f>
        <v>1975944</v>
      </c>
      <c r="F38" s="238">
        <f t="shared" ref="F38:F48" si="5">IF(C38=0,0,E38/C38)</f>
        <v>0.19658763540158142</v>
      </c>
    </row>
    <row r="39" spans="1:6" ht="20.25" customHeight="1" x14ac:dyDescent="0.3">
      <c r="A39" s="235">
        <v>2</v>
      </c>
      <c r="B39" s="236" t="s">
        <v>435</v>
      </c>
      <c r="C39" s="237">
        <v>2043781</v>
      </c>
      <c r="D39" s="237">
        <v>2321874</v>
      </c>
      <c r="E39" s="237">
        <f t="shared" si="4"/>
        <v>278093</v>
      </c>
      <c r="F39" s="238">
        <f t="shared" si="5"/>
        <v>0.13606790551433837</v>
      </c>
    </row>
    <row r="40" spans="1:6" ht="20.25" customHeight="1" x14ac:dyDescent="0.3">
      <c r="A40" s="235">
        <v>3</v>
      </c>
      <c r="B40" s="236" t="s">
        <v>436</v>
      </c>
      <c r="C40" s="237">
        <v>13086163</v>
      </c>
      <c r="D40" s="237">
        <v>15208131</v>
      </c>
      <c r="E40" s="237">
        <f t="shared" si="4"/>
        <v>2121968</v>
      </c>
      <c r="F40" s="238">
        <f t="shared" si="5"/>
        <v>0.16215356632803671</v>
      </c>
    </row>
    <row r="41" spans="1:6" ht="20.25" customHeight="1" x14ac:dyDescent="0.3">
      <c r="A41" s="235">
        <v>4</v>
      </c>
      <c r="B41" s="236" t="s">
        <v>437</v>
      </c>
      <c r="C41" s="237">
        <v>2345714</v>
      </c>
      <c r="D41" s="237">
        <v>2882658</v>
      </c>
      <c r="E41" s="237">
        <f t="shared" si="4"/>
        <v>536944</v>
      </c>
      <c r="F41" s="238">
        <f t="shared" si="5"/>
        <v>0.22890429097494408</v>
      </c>
    </row>
    <row r="42" spans="1:6" ht="20.25" customHeight="1" x14ac:dyDescent="0.3">
      <c r="A42" s="235">
        <v>5</v>
      </c>
      <c r="B42" s="236" t="s">
        <v>373</v>
      </c>
      <c r="C42" s="239">
        <v>502</v>
      </c>
      <c r="D42" s="239">
        <v>501</v>
      </c>
      <c r="E42" s="239">
        <f t="shared" si="4"/>
        <v>-1</v>
      </c>
      <c r="F42" s="238">
        <f t="shared" si="5"/>
        <v>-1.9920318725099601E-3</v>
      </c>
    </row>
    <row r="43" spans="1:6" ht="20.25" customHeight="1" x14ac:dyDescent="0.3">
      <c r="A43" s="235">
        <v>6</v>
      </c>
      <c r="B43" s="236" t="s">
        <v>372</v>
      </c>
      <c r="C43" s="239">
        <v>1580</v>
      </c>
      <c r="D43" s="239">
        <v>1701</v>
      </c>
      <c r="E43" s="239">
        <f t="shared" si="4"/>
        <v>121</v>
      </c>
      <c r="F43" s="238">
        <f t="shared" si="5"/>
        <v>7.6582278481012664E-2</v>
      </c>
    </row>
    <row r="44" spans="1:6" ht="20.25" customHeight="1" x14ac:dyDescent="0.3">
      <c r="A44" s="235">
        <v>7</v>
      </c>
      <c r="B44" s="236" t="s">
        <v>438</v>
      </c>
      <c r="C44" s="239">
        <v>4849</v>
      </c>
      <c r="D44" s="239">
        <v>5528</v>
      </c>
      <c r="E44" s="239">
        <f t="shared" si="4"/>
        <v>679</v>
      </c>
      <c r="F44" s="238">
        <f t="shared" si="5"/>
        <v>0.14002887193235719</v>
      </c>
    </row>
    <row r="45" spans="1:6" ht="20.25" customHeight="1" x14ac:dyDescent="0.3">
      <c r="A45" s="235">
        <v>8</v>
      </c>
      <c r="B45" s="236" t="s">
        <v>439</v>
      </c>
      <c r="C45" s="239">
        <v>3159</v>
      </c>
      <c r="D45" s="239">
        <v>3408</v>
      </c>
      <c r="E45" s="239">
        <f t="shared" si="4"/>
        <v>249</v>
      </c>
      <c r="F45" s="238">
        <f t="shared" si="5"/>
        <v>7.8822412155745494E-2</v>
      </c>
    </row>
    <row r="46" spans="1:6" ht="20.25" customHeight="1" x14ac:dyDescent="0.3">
      <c r="A46" s="235">
        <v>9</v>
      </c>
      <c r="B46" s="236" t="s">
        <v>440</v>
      </c>
      <c r="C46" s="239">
        <v>150</v>
      </c>
      <c r="D46" s="239">
        <v>156</v>
      </c>
      <c r="E46" s="239">
        <f t="shared" si="4"/>
        <v>6</v>
      </c>
      <c r="F46" s="238">
        <f t="shared" si="5"/>
        <v>0.04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23137375</v>
      </c>
      <c r="D47" s="243">
        <f>+D38+D40</f>
        <v>27235287</v>
      </c>
      <c r="E47" s="243">
        <f t="shared" si="4"/>
        <v>4097912</v>
      </c>
      <c r="F47" s="244">
        <f t="shared" si="5"/>
        <v>0.1771122264301806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4389495</v>
      </c>
      <c r="D48" s="243">
        <f>+D39+D41</f>
        <v>5204532</v>
      </c>
      <c r="E48" s="243">
        <f t="shared" si="4"/>
        <v>815037</v>
      </c>
      <c r="F48" s="244">
        <f t="shared" si="5"/>
        <v>0.18567899040778038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640526</v>
      </c>
      <c r="D50" s="237">
        <v>348980</v>
      </c>
      <c r="E50" s="237">
        <f t="shared" ref="E50:E60" si="6">D50-C50</f>
        <v>-291546</v>
      </c>
      <c r="F50" s="238">
        <f t="shared" ref="F50:F60" si="7">IF(C50=0,0,E50/C50)</f>
        <v>-0.45516653500404353</v>
      </c>
    </row>
    <row r="51" spans="1:6" ht="20.25" customHeight="1" x14ac:dyDescent="0.3">
      <c r="A51" s="235">
        <v>2</v>
      </c>
      <c r="B51" s="236" t="s">
        <v>435</v>
      </c>
      <c r="C51" s="237">
        <v>134428</v>
      </c>
      <c r="D51" s="237">
        <v>78980</v>
      </c>
      <c r="E51" s="237">
        <f t="shared" si="6"/>
        <v>-55448</v>
      </c>
      <c r="F51" s="238">
        <f t="shared" si="7"/>
        <v>-0.41247359181122978</v>
      </c>
    </row>
    <row r="52" spans="1:6" ht="20.25" customHeight="1" x14ac:dyDescent="0.3">
      <c r="A52" s="235">
        <v>3</v>
      </c>
      <c r="B52" s="236" t="s">
        <v>436</v>
      </c>
      <c r="C52" s="237">
        <v>178808</v>
      </c>
      <c r="D52" s="237">
        <v>239922</v>
      </c>
      <c r="E52" s="237">
        <f t="shared" si="6"/>
        <v>61114</v>
      </c>
      <c r="F52" s="238">
        <f t="shared" si="7"/>
        <v>0.34178560243389555</v>
      </c>
    </row>
    <row r="53" spans="1:6" ht="20.25" customHeight="1" x14ac:dyDescent="0.3">
      <c r="A53" s="235">
        <v>4</v>
      </c>
      <c r="B53" s="236" t="s">
        <v>437</v>
      </c>
      <c r="C53" s="237">
        <v>29325</v>
      </c>
      <c r="D53" s="237">
        <v>37623</v>
      </c>
      <c r="E53" s="237">
        <f t="shared" si="6"/>
        <v>8298</v>
      </c>
      <c r="F53" s="238">
        <f t="shared" si="7"/>
        <v>0.28296675191815857</v>
      </c>
    </row>
    <row r="54" spans="1:6" ht="20.25" customHeight="1" x14ac:dyDescent="0.3">
      <c r="A54" s="235">
        <v>5</v>
      </c>
      <c r="B54" s="236" t="s">
        <v>373</v>
      </c>
      <c r="C54" s="239">
        <v>27</v>
      </c>
      <c r="D54" s="239">
        <v>18</v>
      </c>
      <c r="E54" s="239">
        <f t="shared" si="6"/>
        <v>-9</v>
      </c>
      <c r="F54" s="238">
        <f t="shared" si="7"/>
        <v>-0.33333333333333331</v>
      </c>
    </row>
    <row r="55" spans="1:6" ht="20.25" customHeight="1" x14ac:dyDescent="0.3">
      <c r="A55" s="235">
        <v>6</v>
      </c>
      <c r="B55" s="236" t="s">
        <v>372</v>
      </c>
      <c r="C55" s="239">
        <v>94</v>
      </c>
      <c r="D55" s="239">
        <v>56</v>
      </c>
      <c r="E55" s="239">
        <f t="shared" si="6"/>
        <v>-38</v>
      </c>
      <c r="F55" s="238">
        <f t="shared" si="7"/>
        <v>-0.40425531914893614</v>
      </c>
    </row>
    <row r="56" spans="1:6" ht="20.25" customHeight="1" x14ac:dyDescent="0.3">
      <c r="A56" s="235">
        <v>7</v>
      </c>
      <c r="B56" s="236" t="s">
        <v>438</v>
      </c>
      <c r="C56" s="239">
        <v>4</v>
      </c>
      <c r="D56" s="239">
        <v>12</v>
      </c>
      <c r="E56" s="239">
        <f t="shared" si="6"/>
        <v>8</v>
      </c>
      <c r="F56" s="238">
        <f t="shared" si="7"/>
        <v>2</v>
      </c>
    </row>
    <row r="57" spans="1:6" ht="20.25" customHeight="1" x14ac:dyDescent="0.3">
      <c r="A57" s="235">
        <v>8</v>
      </c>
      <c r="B57" s="236" t="s">
        <v>439</v>
      </c>
      <c r="C57" s="239">
        <v>100</v>
      </c>
      <c r="D57" s="239">
        <v>116</v>
      </c>
      <c r="E57" s="239">
        <f t="shared" si="6"/>
        <v>16</v>
      </c>
      <c r="F57" s="238">
        <f t="shared" si="7"/>
        <v>0.16</v>
      </c>
    </row>
    <row r="58" spans="1:6" ht="20.25" customHeight="1" x14ac:dyDescent="0.3">
      <c r="A58" s="235">
        <v>9</v>
      </c>
      <c r="B58" s="236" t="s">
        <v>440</v>
      </c>
      <c r="C58" s="239">
        <v>23</v>
      </c>
      <c r="D58" s="239">
        <v>12</v>
      </c>
      <c r="E58" s="239">
        <f t="shared" si="6"/>
        <v>-11</v>
      </c>
      <c r="F58" s="238">
        <f t="shared" si="7"/>
        <v>-0.47826086956521741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819334</v>
      </c>
      <c r="D59" s="243">
        <f>+D50+D52</f>
        <v>588902</v>
      </c>
      <c r="E59" s="243">
        <f t="shared" si="6"/>
        <v>-230432</v>
      </c>
      <c r="F59" s="244">
        <f t="shared" si="7"/>
        <v>-0.28124305838644559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163753</v>
      </c>
      <c r="D60" s="243">
        <f>+D51+D53</f>
        <v>116603</v>
      </c>
      <c r="E60" s="243">
        <f t="shared" si="6"/>
        <v>-47150</v>
      </c>
      <c r="F60" s="244">
        <f t="shared" si="7"/>
        <v>-0.28793365617729139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40</v>
      </c>
      <c r="D88" s="237">
        <v>0</v>
      </c>
      <c r="E88" s="237">
        <f t="shared" si="12"/>
        <v>-40</v>
      </c>
      <c r="F88" s="238">
        <f t="shared" si="13"/>
        <v>-1</v>
      </c>
    </row>
    <row r="89" spans="1:6" ht="20.25" customHeight="1" x14ac:dyDescent="0.3">
      <c r="A89" s="235">
        <v>4</v>
      </c>
      <c r="B89" s="236" t="s">
        <v>437</v>
      </c>
      <c r="C89" s="237">
        <v>6</v>
      </c>
      <c r="D89" s="237">
        <v>0</v>
      </c>
      <c r="E89" s="237">
        <f t="shared" si="12"/>
        <v>-6</v>
      </c>
      <c r="F89" s="238">
        <f t="shared" si="13"/>
        <v>-1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1</v>
      </c>
      <c r="D92" s="239">
        <v>0</v>
      </c>
      <c r="E92" s="239">
        <f t="shared" si="12"/>
        <v>-1</v>
      </c>
      <c r="F92" s="238">
        <f t="shared" si="13"/>
        <v>-1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40</v>
      </c>
      <c r="D95" s="243">
        <f>+D86+D88</f>
        <v>0</v>
      </c>
      <c r="E95" s="243">
        <f t="shared" si="12"/>
        <v>-40</v>
      </c>
      <c r="F95" s="244">
        <f t="shared" si="13"/>
        <v>-1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6</v>
      </c>
      <c r="D96" s="243">
        <f>+D87+D89</f>
        <v>0</v>
      </c>
      <c r="E96" s="243">
        <f t="shared" si="12"/>
        <v>-6</v>
      </c>
      <c r="F96" s="244">
        <f t="shared" si="13"/>
        <v>-1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13336939</v>
      </c>
      <c r="D98" s="237">
        <v>14952962</v>
      </c>
      <c r="E98" s="237">
        <f t="shared" ref="E98:E108" si="14">D98-C98</f>
        <v>1616023</v>
      </c>
      <c r="F98" s="238">
        <f t="shared" ref="F98:F108" si="15">IF(C98=0,0,E98/C98)</f>
        <v>0.12116895788456407</v>
      </c>
    </row>
    <row r="99" spans="1:7" ht="20.25" customHeight="1" x14ac:dyDescent="0.3">
      <c r="A99" s="235">
        <v>2</v>
      </c>
      <c r="B99" s="236" t="s">
        <v>435</v>
      </c>
      <c r="C99" s="237">
        <v>2812874</v>
      </c>
      <c r="D99" s="237">
        <v>3241088</v>
      </c>
      <c r="E99" s="237">
        <f t="shared" si="14"/>
        <v>428214</v>
      </c>
      <c r="F99" s="238">
        <f t="shared" si="15"/>
        <v>0.15223362297778001</v>
      </c>
    </row>
    <row r="100" spans="1:7" ht="20.25" customHeight="1" x14ac:dyDescent="0.3">
      <c r="A100" s="235">
        <v>3</v>
      </c>
      <c r="B100" s="236" t="s">
        <v>436</v>
      </c>
      <c r="C100" s="237">
        <v>18493333</v>
      </c>
      <c r="D100" s="237">
        <v>21645359</v>
      </c>
      <c r="E100" s="237">
        <f t="shared" si="14"/>
        <v>3152026</v>
      </c>
      <c r="F100" s="238">
        <f t="shared" si="15"/>
        <v>0.1704412071096108</v>
      </c>
    </row>
    <row r="101" spans="1:7" ht="20.25" customHeight="1" x14ac:dyDescent="0.3">
      <c r="A101" s="235">
        <v>4</v>
      </c>
      <c r="B101" s="236" t="s">
        <v>437</v>
      </c>
      <c r="C101" s="237">
        <v>3192664</v>
      </c>
      <c r="D101" s="237">
        <v>4008017</v>
      </c>
      <c r="E101" s="237">
        <f t="shared" si="14"/>
        <v>815353</v>
      </c>
      <c r="F101" s="238">
        <f t="shared" si="15"/>
        <v>0.25538327866634258</v>
      </c>
    </row>
    <row r="102" spans="1:7" ht="20.25" customHeight="1" x14ac:dyDescent="0.3">
      <c r="A102" s="235">
        <v>5</v>
      </c>
      <c r="B102" s="236" t="s">
        <v>373</v>
      </c>
      <c r="C102" s="239">
        <v>683</v>
      </c>
      <c r="D102" s="239">
        <v>773</v>
      </c>
      <c r="E102" s="239">
        <f t="shared" si="14"/>
        <v>90</v>
      </c>
      <c r="F102" s="238">
        <f t="shared" si="15"/>
        <v>0.13177159590043924</v>
      </c>
    </row>
    <row r="103" spans="1:7" ht="20.25" customHeight="1" x14ac:dyDescent="0.3">
      <c r="A103" s="235">
        <v>6</v>
      </c>
      <c r="B103" s="236" t="s">
        <v>372</v>
      </c>
      <c r="C103" s="239">
        <v>2164</v>
      </c>
      <c r="D103" s="239">
        <v>2271</v>
      </c>
      <c r="E103" s="239">
        <f t="shared" si="14"/>
        <v>107</v>
      </c>
      <c r="F103" s="238">
        <f t="shared" si="15"/>
        <v>4.9445471349353051E-2</v>
      </c>
    </row>
    <row r="104" spans="1:7" ht="20.25" customHeight="1" x14ac:dyDescent="0.3">
      <c r="A104" s="235">
        <v>7</v>
      </c>
      <c r="B104" s="236" t="s">
        <v>438</v>
      </c>
      <c r="C104" s="239">
        <v>6846</v>
      </c>
      <c r="D104" s="239">
        <v>7833</v>
      </c>
      <c r="E104" s="239">
        <f t="shared" si="14"/>
        <v>987</v>
      </c>
      <c r="F104" s="238">
        <f t="shared" si="15"/>
        <v>0.14417177914110429</v>
      </c>
    </row>
    <row r="105" spans="1:7" ht="20.25" customHeight="1" x14ac:dyDescent="0.3">
      <c r="A105" s="235">
        <v>8</v>
      </c>
      <c r="B105" s="236" t="s">
        <v>439</v>
      </c>
      <c r="C105" s="239">
        <v>4441</v>
      </c>
      <c r="D105" s="239">
        <v>4900</v>
      </c>
      <c r="E105" s="239">
        <f t="shared" si="14"/>
        <v>459</v>
      </c>
      <c r="F105" s="238">
        <f t="shared" si="15"/>
        <v>0.10335510020265706</v>
      </c>
    </row>
    <row r="106" spans="1:7" ht="20.25" customHeight="1" x14ac:dyDescent="0.3">
      <c r="A106" s="235">
        <v>9</v>
      </c>
      <c r="B106" s="236" t="s">
        <v>440</v>
      </c>
      <c r="C106" s="239">
        <v>219</v>
      </c>
      <c r="D106" s="239">
        <v>273</v>
      </c>
      <c r="E106" s="239">
        <f t="shared" si="14"/>
        <v>54</v>
      </c>
      <c r="F106" s="238">
        <f t="shared" si="15"/>
        <v>0.24657534246575341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31830272</v>
      </c>
      <c r="D107" s="243">
        <f>+D98+D100</f>
        <v>36598321</v>
      </c>
      <c r="E107" s="243">
        <f t="shared" si="14"/>
        <v>4768049</v>
      </c>
      <c r="F107" s="244">
        <f t="shared" si="15"/>
        <v>0.14979604949652958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6005538</v>
      </c>
      <c r="D108" s="243">
        <f>+D99+D101</f>
        <v>7249105</v>
      </c>
      <c r="E108" s="243">
        <f t="shared" si="14"/>
        <v>1243567</v>
      </c>
      <c r="F108" s="244">
        <f t="shared" si="15"/>
        <v>0.2070700410188063</v>
      </c>
    </row>
    <row r="109" spans="1:7" s="240" customFormat="1" ht="20.25" customHeight="1" x14ac:dyDescent="0.3">
      <c r="A109" s="685" t="s">
        <v>44</v>
      </c>
      <c r="B109" s="686" t="s">
        <v>478</v>
      </c>
      <c r="C109" s="688"/>
      <c r="D109" s="689"/>
      <c r="E109" s="689"/>
      <c r="F109" s="690"/>
      <c r="G109" s="212"/>
    </row>
    <row r="110" spans="1:7" ht="20.25" customHeight="1" x14ac:dyDescent="0.3">
      <c r="A110" s="676"/>
      <c r="B110" s="687"/>
      <c r="C110" s="682"/>
      <c r="D110" s="683"/>
      <c r="E110" s="683"/>
      <c r="F110" s="684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61214692</v>
      </c>
      <c r="D112" s="243">
        <f t="shared" si="16"/>
        <v>59941883</v>
      </c>
      <c r="E112" s="243">
        <f t="shared" ref="E112:E122" si="17">D112-C112</f>
        <v>-1272809</v>
      </c>
      <c r="F112" s="244">
        <f t="shared" ref="F112:F122" si="18">IF(C112=0,0,E112/C112)</f>
        <v>-2.0792541110882336E-2</v>
      </c>
    </row>
    <row r="113" spans="1:6" ht="20.25" customHeight="1" x14ac:dyDescent="0.3">
      <c r="A113" s="249"/>
      <c r="B113" s="250" t="s">
        <v>461</v>
      </c>
      <c r="C113" s="243">
        <f t="shared" si="16"/>
        <v>13020809</v>
      </c>
      <c r="D113" s="243">
        <f t="shared" si="16"/>
        <v>12619480</v>
      </c>
      <c r="E113" s="243">
        <f t="shared" si="17"/>
        <v>-401329</v>
      </c>
      <c r="F113" s="244">
        <f t="shared" si="18"/>
        <v>-3.0822124800386826E-2</v>
      </c>
    </row>
    <row r="114" spans="1:6" ht="20.25" customHeight="1" x14ac:dyDescent="0.3">
      <c r="A114" s="249"/>
      <c r="B114" s="250" t="s">
        <v>462</v>
      </c>
      <c r="C114" s="243">
        <f t="shared" si="16"/>
        <v>81346080</v>
      </c>
      <c r="D114" s="243">
        <f t="shared" si="16"/>
        <v>90463084</v>
      </c>
      <c r="E114" s="243">
        <f t="shared" si="17"/>
        <v>9117004</v>
      </c>
      <c r="F114" s="244">
        <f t="shared" si="18"/>
        <v>0.11207674666068727</v>
      </c>
    </row>
    <row r="115" spans="1:6" ht="20.25" customHeight="1" x14ac:dyDescent="0.3">
      <c r="A115" s="249"/>
      <c r="B115" s="250" t="s">
        <v>463</v>
      </c>
      <c r="C115" s="243">
        <f t="shared" si="16"/>
        <v>14389691</v>
      </c>
      <c r="D115" s="243">
        <f t="shared" si="16"/>
        <v>16863418</v>
      </c>
      <c r="E115" s="243">
        <f t="shared" si="17"/>
        <v>2473727</v>
      </c>
      <c r="F115" s="244">
        <f t="shared" si="18"/>
        <v>0.17190966783094924</v>
      </c>
    </row>
    <row r="116" spans="1:6" ht="20.25" customHeight="1" x14ac:dyDescent="0.3">
      <c r="A116" s="249"/>
      <c r="B116" s="250" t="s">
        <v>464</v>
      </c>
      <c r="C116" s="252">
        <f t="shared" si="16"/>
        <v>2896</v>
      </c>
      <c r="D116" s="252">
        <f t="shared" si="16"/>
        <v>2907</v>
      </c>
      <c r="E116" s="252">
        <f t="shared" si="17"/>
        <v>11</v>
      </c>
      <c r="F116" s="244">
        <f t="shared" si="18"/>
        <v>3.7983425414364639E-3</v>
      </c>
    </row>
    <row r="117" spans="1:6" ht="20.25" customHeight="1" x14ac:dyDescent="0.3">
      <c r="A117" s="249"/>
      <c r="B117" s="250" t="s">
        <v>465</v>
      </c>
      <c r="C117" s="252">
        <f t="shared" si="16"/>
        <v>10093</v>
      </c>
      <c r="D117" s="252">
        <f t="shared" si="16"/>
        <v>9126</v>
      </c>
      <c r="E117" s="252">
        <f t="shared" si="17"/>
        <v>-967</v>
      </c>
      <c r="F117" s="244">
        <f t="shared" si="18"/>
        <v>-9.580897651837908E-2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29774</v>
      </c>
      <c r="D118" s="252">
        <f t="shared" si="16"/>
        <v>31983</v>
      </c>
      <c r="E118" s="252">
        <f t="shared" si="17"/>
        <v>2209</v>
      </c>
      <c r="F118" s="244">
        <f t="shared" si="18"/>
        <v>7.4192248270302949E-2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20600</v>
      </c>
      <c r="D119" s="252">
        <f t="shared" si="16"/>
        <v>21177</v>
      </c>
      <c r="E119" s="252">
        <f t="shared" si="17"/>
        <v>577</v>
      </c>
      <c r="F119" s="244">
        <f t="shared" si="18"/>
        <v>2.8009708737864077E-2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1020</v>
      </c>
      <c r="D120" s="252">
        <f t="shared" si="16"/>
        <v>1034</v>
      </c>
      <c r="E120" s="252">
        <f t="shared" si="17"/>
        <v>14</v>
      </c>
      <c r="F120" s="244">
        <f t="shared" si="18"/>
        <v>1.3725490196078431E-2</v>
      </c>
    </row>
    <row r="121" spans="1:6" ht="39.950000000000003" customHeight="1" x14ac:dyDescent="0.3">
      <c r="A121" s="249"/>
      <c r="B121" s="242" t="s">
        <v>441</v>
      </c>
      <c r="C121" s="243">
        <f>+C112+C114</f>
        <v>142560772</v>
      </c>
      <c r="D121" s="243">
        <f>+D112+D114</f>
        <v>150404967</v>
      </c>
      <c r="E121" s="243">
        <f t="shared" si="17"/>
        <v>7844195</v>
      </c>
      <c r="F121" s="244">
        <f t="shared" si="18"/>
        <v>5.5023516567376612E-2</v>
      </c>
    </row>
    <row r="122" spans="1:6" ht="39.950000000000003" customHeight="1" x14ac:dyDescent="0.3">
      <c r="A122" s="249"/>
      <c r="B122" s="242" t="s">
        <v>470</v>
      </c>
      <c r="C122" s="243">
        <f>+C113+C115</f>
        <v>27410500</v>
      </c>
      <c r="D122" s="243">
        <f>+D113+D115</f>
        <v>29482898</v>
      </c>
      <c r="E122" s="243">
        <f t="shared" si="17"/>
        <v>2072398</v>
      </c>
      <c r="F122" s="244">
        <f t="shared" si="18"/>
        <v>7.5605990405136714E-2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45152000</v>
      </c>
      <c r="D13" s="23">
        <v>37449000</v>
      </c>
      <c r="E13" s="23">
        <f t="shared" ref="E13:E22" si="0">D13-C13</f>
        <v>-7703000</v>
      </c>
      <c r="F13" s="24">
        <f t="shared" ref="F13:F22" si="1">IF(C13=0,0,E13/C13)</f>
        <v>-0.17060152374202694</v>
      </c>
    </row>
    <row r="14" spans="1:8" ht="24" customHeight="1" x14ac:dyDescent="0.2">
      <c r="A14" s="21">
        <v>2</v>
      </c>
      <c r="B14" s="22" t="s">
        <v>17</v>
      </c>
      <c r="C14" s="23">
        <v>42391000</v>
      </c>
      <c r="D14" s="23">
        <v>43693000</v>
      </c>
      <c r="E14" s="23">
        <f t="shared" si="0"/>
        <v>1302000</v>
      </c>
      <c r="F14" s="24">
        <f t="shared" si="1"/>
        <v>3.0714066665094006E-2</v>
      </c>
    </row>
    <row r="15" spans="1:8" ht="35.1" customHeight="1" x14ac:dyDescent="0.2">
      <c r="A15" s="21">
        <v>3</v>
      </c>
      <c r="B15" s="22" t="s">
        <v>18</v>
      </c>
      <c r="C15" s="23">
        <v>29146000</v>
      </c>
      <c r="D15" s="23">
        <v>41819000</v>
      </c>
      <c r="E15" s="23">
        <f t="shared" si="0"/>
        <v>12673000</v>
      </c>
      <c r="F15" s="24">
        <f t="shared" si="1"/>
        <v>0.43481095176010431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1411000</v>
      </c>
      <c r="D18" s="23">
        <v>2403000</v>
      </c>
      <c r="E18" s="23">
        <f t="shared" si="0"/>
        <v>992000</v>
      </c>
      <c r="F18" s="24">
        <f t="shared" si="1"/>
        <v>0.70304748405386253</v>
      </c>
    </row>
    <row r="19" spans="1:11" ht="24" customHeight="1" x14ac:dyDescent="0.2">
      <c r="A19" s="21">
        <v>7</v>
      </c>
      <c r="B19" s="22" t="s">
        <v>22</v>
      </c>
      <c r="C19" s="23">
        <v>3852000</v>
      </c>
      <c r="D19" s="23">
        <v>3786000</v>
      </c>
      <c r="E19" s="23">
        <f t="shared" si="0"/>
        <v>-66000</v>
      </c>
      <c r="F19" s="24">
        <f t="shared" si="1"/>
        <v>-1.7133956386292833E-2</v>
      </c>
    </row>
    <row r="20" spans="1:11" ht="24" customHeight="1" x14ac:dyDescent="0.2">
      <c r="A20" s="21">
        <v>8</v>
      </c>
      <c r="B20" s="22" t="s">
        <v>23</v>
      </c>
      <c r="C20" s="23">
        <v>1895000</v>
      </c>
      <c r="D20" s="23">
        <v>2522000</v>
      </c>
      <c r="E20" s="23">
        <f t="shared" si="0"/>
        <v>627000</v>
      </c>
      <c r="F20" s="24">
        <f t="shared" si="1"/>
        <v>0.33087071240105542</v>
      </c>
    </row>
    <row r="21" spans="1:11" ht="24" customHeight="1" x14ac:dyDescent="0.2">
      <c r="A21" s="21">
        <v>9</v>
      </c>
      <c r="B21" s="22" t="s">
        <v>24</v>
      </c>
      <c r="C21" s="23">
        <v>4297000</v>
      </c>
      <c r="D21" s="23">
        <v>5643000</v>
      </c>
      <c r="E21" s="23">
        <f t="shared" si="0"/>
        <v>1346000</v>
      </c>
      <c r="F21" s="24">
        <f t="shared" si="1"/>
        <v>0.31324179660228069</v>
      </c>
    </row>
    <row r="22" spans="1:11" ht="24" customHeight="1" x14ac:dyDescent="0.25">
      <c r="A22" s="25"/>
      <c r="B22" s="26" t="s">
        <v>25</v>
      </c>
      <c r="C22" s="27">
        <f>SUM(C13:C21)</f>
        <v>128144000</v>
      </c>
      <c r="D22" s="27">
        <f>SUM(D13:D21)</f>
        <v>137315000</v>
      </c>
      <c r="E22" s="27">
        <f t="shared" si="0"/>
        <v>9171000</v>
      </c>
      <c r="F22" s="28">
        <f t="shared" si="1"/>
        <v>7.1567923585965795E-2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548000</v>
      </c>
      <c r="D25" s="23">
        <v>1103000</v>
      </c>
      <c r="E25" s="23">
        <f>D25-C25</f>
        <v>555000</v>
      </c>
      <c r="F25" s="24">
        <f>IF(C25=0,0,E25/C25)</f>
        <v>1.0127737226277371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5788000</v>
      </c>
      <c r="D27" s="23">
        <v>5788000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6336000</v>
      </c>
      <c r="D29" s="27">
        <f>SUM(D25:D28)</f>
        <v>6891000</v>
      </c>
      <c r="E29" s="27">
        <f>D29-C29</f>
        <v>555000</v>
      </c>
      <c r="F29" s="28">
        <f>IF(C29=0,0,E29/C29)</f>
        <v>8.7594696969696975E-2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40789000</v>
      </c>
      <c r="D32" s="23">
        <v>43246000</v>
      </c>
      <c r="E32" s="23">
        <f>D32-C32</f>
        <v>2457000</v>
      </c>
      <c r="F32" s="24">
        <f>IF(C32=0,0,E32/C32)</f>
        <v>6.0236828556718726E-2</v>
      </c>
    </row>
    <row r="33" spans="1:8" ht="24" customHeight="1" x14ac:dyDescent="0.2">
      <c r="A33" s="21">
        <v>7</v>
      </c>
      <c r="B33" s="22" t="s">
        <v>35</v>
      </c>
      <c r="C33" s="23">
        <v>8933000</v>
      </c>
      <c r="D33" s="23">
        <v>18590000</v>
      </c>
      <c r="E33" s="23">
        <f>D33-C33</f>
        <v>9657000</v>
      </c>
      <c r="F33" s="24">
        <f>IF(C33=0,0,E33/C33)</f>
        <v>1.0810478002910557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362880000</v>
      </c>
      <c r="D36" s="23">
        <v>371922000</v>
      </c>
      <c r="E36" s="23">
        <f>D36-C36</f>
        <v>9042000</v>
      </c>
      <c r="F36" s="24">
        <f>IF(C36=0,0,E36/C36)</f>
        <v>2.4917328042328043E-2</v>
      </c>
    </row>
    <row r="37" spans="1:8" ht="24" customHeight="1" x14ac:dyDescent="0.2">
      <c r="A37" s="21">
        <v>2</v>
      </c>
      <c r="B37" s="22" t="s">
        <v>39</v>
      </c>
      <c r="C37" s="23">
        <v>249254000</v>
      </c>
      <c r="D37" s="23">
        <v>265257000</v>
      </c>
      <c r="E37" s="23">
        <f>D37-C37</f>
        <v>16003000</v>
      </c>
      <c r="F37" s="23">
        <f>IF(C37=0,0,E37/C37)</f>
        <v>6.4203583493143535E-2</v>
      </c>
    </row>
    <row r="38" spans="1:8" ht="24" customHeight="1" x14ac:dyDescent="0.25">
      <c r="A38" s="25"/>
      <c r="B38" s="26" t="s">
        <v>40</v>
      </c>
      <c r="C38" s="27">
        <f>C36-C37</f>
        <v>113626000</v>
      </c>
      <c r="D38" s="27">
        <f>D36-D37</f>
        <v>106665000</v>
      </c>
      <c r="E38" s="27">
        <f>D38-C38</f>
        <v>-6961000</v>
      </c>
      <c r="F38" s="28">
        <f>IF(C38=0,0,E38/C38)</f>
        <v>-6.1262387129706226E-2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4946000</v>
      </c>
      <c r="D40" s="23">
        <v>18530000</v>
      </c>
      <c r="E40" s="23">
        <f>D40-C40</f>
        <v>13584000</v>
      </c>
      <c r="F40" s="24">
        <f>IF(C40=0,0,E40/C40)</f>
        <v>2.7464617873028709</v>
      </c>
    </row>
    <row r="41" spans="1:8" ht="24" customHeight="1" x14ac:dyDescent="0.25">
      <c r="A41" s="25"/>
      <c r="B41" s="26" t="s">
        <v>42</v>
      </c>
      <c r="C41" s="27">
        <f>+C38+C40</f>
        <v>118572000</v>
      </c>
      <c r="D41" s="27">
        <f>+D38+D40</f>
        <v>125195000</v>
      </c>
      <c r="E41" s="27">
        <f>D41-C41</f>
        <v>6623000</v>
      </c>
      <c r="F41" s="28">
        <f>IF(C41=0,0,E41/C41)</f>
        <v>5.585635731875991E-2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302774000</v>
      </c>
      <c r="D43" s="27">
        <f>D22+D29+D31+D32+D33+D41</f>
        <v>331237000</v>
      </c>
      <c r="E43" s="27">
        <f>D43-C43</f>
        <v>28463000</v>
      </c>
      <c r="F43" s="28">
        <f>IF(C43=0,0,E43/C43)</f>
        <v>9.4007411468620156E-2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11257000</v>
      </c>
      <c r="D49" s="23">
        <v>13308000</v>
      </c>
      <c r="E49" s="23">
        <f t="shared" ref="E49:E56" si="2">D49-C49</f>
        <v>2051000</v>
      </c>
      <c r="F49" s="24">
        <f t="shared" ref="F49:F56" si="3">IF(C49=0,0,E49/C49)</f>
        <v>0.18219774362618815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34944000</v>
      </c>
      <c r="D50" s="23">
        <v>40168000</v>
      </c>
      <c r="E50" s="23">
        <f t="shared" si="2"/>
        <v>5224000</v>
      </c>
      <c r="F50" s="24">
        <f t="shared" si="3"/>
        <v>0.14949633699633699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2860000</v>
      </c>
      <c r="D51" s="23">
        <v>3987000</v>
      </c>
      <c r="E51" s="23">
        <f t="shared" si="2"/>
        <v>1127000</v>
      </c>
      <c r="F51" s="24">
        <f t="shared" si="3"/>
        <v>0.39405594405594407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2945000</v>
      </c>
      <c r="D53" s="23">
        <v>3832000</v>
      </c>
      <c r="E53" s="23">
        <f t="shared" si="2"/>
        <v>887000</v>
      </c>
      <c r="F53" s="24">
        <f t="shared" si="3"/>
        <v>0.30118845500848895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52006000</v>
      </c>
      <c r="D56" s="27">
        <f>SUM(D49:D55)</f>
        <v>61295000</v>
      </c>
      <c r="E56" s="27">
        <f t="shared" si="2"/>
        <v>9289000</v>
      </c>
      <c r="F56" s="28">
        <f t="shared" si="3"/>
        <v>0.17861400607622197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47145000</v>
      </c>
      <c r="D59" s="23">
        <v>49757000</v>
      </c>
      <c r="E59" s="23">
        <f>D59-C59</f>
        <v>2612000</v>
      </c>
      <c r="F59" s="24">
        <f>IF(C59=0,0,E59/C59)</f>
        <v>5.5403542263230458E-2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47145000</v>
      </c>
      <c r="D61" s="27">
        <f>SUM(D59:D60)</f>
        <v>49757000</v>
      </c>
      <c r="E61" s="27">
        <f>D61-C61</f>
        <v>2612000</v>
      </c>
      <c r="F61" s="28">
        <f>IF(C61=0,0,E61/C61)</f>
        <v>5.5403542263230458E-2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55462000</v>
      </c>
      <c r="D63" s="23">
        <v>58208000</v>
      </c>
      <c r="E63" s="23">
        <f>D63-C63</f>
        <v>2746000</v>
      </c>
      <c r="F63" s="24">
        <f>IF(C63=0,0,E63/C63)</f>
        <v>4.9511377159135984E-2</v>
      </c>
    </row>
    <row r="64" spans="1:6" ht="24" customHeight="1" x14ac:dyDescent="0.2">
      <c r="A64" s="21">
        <v>4</v>
      </c>
      <c r="B64" s="22" t="s">
        <v>60</v>
      </c>
      <c r="C64" s="23">
        <v>47569000</v>
      </c>
      <c r="D64" s="23">
        <v>45835000</v>
      </c>
      <c r="E64" s="23">
        <f>D64-C64</f>
        <v>-1734000</v>
      </c>
      <c r="F64" s="24">
        <f>IF(C64=0,0,E64/C64)</f>
        <v>-3.6452311379259604E-2</v>
      </c>
    </row>
    <row r="65" spans="1:6" ht="24" customHeight="1" x14ac:dyDescent="0.25">
      <c r="A65" s="25"/>
      <c r="B65" s="26" t="s">
        <v>61</v>
      </c>
      <c r="C65" s="27">
        <f>SUM(C61:C64)</f>
        <v>150176000</v>
      </c>
      <c r="D65" s="27">
        <f>SUM(D61:D64)</f>
        <v>153800000</v>
      </c>
      <c r="E65" s="27">
        <f>D65-C65</f>
        <v>3624000</v>
      </c>
      <c r="F65" s="28">
        <f>IF(C65=0,0,E65/C65)</f>
        <v>2.4131685489026208E-2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60022000</v>
      </c>
      <c r="D70" s="23">
        <v>72064000</v>
      </c>
      <c r="E70" s="23">
        <f>D70-C70</f>
        <v>12042000</v>
      </c>
      <c r="F70" s="24">
        <f>IF(C70=0,0,E70/C70)</f>
        <v>0.20062643697310986</v>
      </c>
    </row>
    <row r="71" spans="1:6" ht="24" customHeight="1" x14ac:dyDescent="0.2">
      <c r="A71" s="21">
        <v>2</v>
      </c>
      <c r="B71" s="22" t="s">
        <v>65</v>
      </c>
      <c r="C71" s="23">
        <v>23262000</v>
      </c>
      <c r="D71" s="23">
        <v>24997000</v>
      </c>
      <c r="E71" s="23">
        <f>D71-C71</f>
        <v>1735000</v>
      </c>
      <c r="F71" s="24">
        <f>IF(C71=0,0,E71/C71)</f>
        <v>7.4585160347347607E-2</v>
      </c>
    </row>
    <row r="72" spans="1:6" ht="24" customHeight="1" x14ac:dyDescent="0.2">
      <c r="A72" s="21">
        <v>3</v>
      </c>
      <c r="B72" s="22" t="s">
        <v>66</v>
      </c>
      <c r="C72" s="23">
        <v>17308000</v>
      </c>
      <c r="D72" s="23">
        <v>19081000</v>
      </c>
      <c r="E72" s="23">
        <f>D72-C72</f>
        <v>1773000</v>
      </c>
      <c r="F72" s="24">
        <f>IF(C72=0,0,E72/C72)</f>
        <v>0.10243817887681997</v>
      </c>
    </row>
    <row r="73" spans="1:6" ht="24" customHeight="1" x14ac:dyDescent="0.25">
      <c r="A73" s="21"/>
      <c r="B73" s="26" t="s">
        <v>67</v>
      </c>
      <c r="C73" s="27">
        <f>SUM(C70:C72)</f>
        <v>100592000</v>
      </c>
      <c r="D73" s="27">
        <f>SUM(D70:D72)</f>
        <v>116142000</v>
      </c>
      <c r="E73" s="27">
        <f>D73-C73</f>
        <v>15550000</v>
      </c>
      <c r="F73" s="28">
        <f>IF(C73=0,0,E73/C73)</f>
        <v>0.1545848576427549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302774000</v>
      </c>
      <c r="D75" s="27">
        <f>D56+D65+D67+D73</f>
        <v>331237000</v>
      </c>
      <c r="E75" s="27">
        <f>D75-C75</f>
        <v>28463000</v>
      </c>
      <c r="F75" s="28">
        <f>IF(C75=0,0,E75/C75)</f>
        <v>9.4007411468620156E-2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FILING&amp;RBRIDGEPORT HOSPITAL &amp;AMP; HEALTHCARE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1211791000</v>
      </c>
      <c r="D12" s="51">
        <v>1300540000</v>
      </c>
      <c r="E12" s="51">
        <f t="shared" ref="E12:E19" si="0">D12-C12</f>
        <v>88749000</v>
      </c>
      <c r="F12" s="70">
        <f t="shared" ref="F12:F19" si="1">IF(C12=0,0,E12/C12)</f>
        <v>7.3237876828595033E-2</v>
      </c>
    </row>
    <row r="13" spans="1:8" ht="23.1" customHeight="1" x14ac:dyDescent="0.2">
      <c r="A13" s="25">
        <v>2</v>
      </c>
      <c r="B13" s="48" t="s">
        <v>72</v>
      </c>
      <c r="C13" s="51">
        <v>810016000</v>
      </c>
      <c r="D13" s="51">
        <v>851787000</v>
      </c>
      <c r="E13" s="51">
        <f t="shared" si="0"/>
        <v>41771000</v>
      </c>
      <c r="F13" s="70">
        <f t="shared" si="1"/>
        <v>5.1568117172994116E-2</v>
      </c>
    </row>
    <row r="14" spans="1:8" ht="23.1" customHeight="1" x14ac:dyDescent="0.2">
      <c r="A14" s="25">
        <v>3</v>
      </c>
      <c r="B14" s="48" t="s">
        <v>73</v>
      </c>
      <c r="C14" s="51">
        <v>25339000</v>
      </c>
      <c r="D14" s="51">
        <v>29578000</v>
      </c>
      <c r="E14" s="51">
        <f t="shared" si="0"/>
        <v>4239000</v>
      </c>
      <c r="F14" s="70">
        <f t="shared" si="1"/>
        <v>0.16729152689529975</v>
      </c>
    </row>
    <row r="15" spans="1:8" ht="23.1" customHeight="1" x14ac:dyDescent="0.2">
      <c r="A15" s="25">
        <v>4</v>
      </c>
      <c r="B15" s="48" t="s">
        <v>74</v>
      </c>
      <c r="C15" s="51">
        <v>7004000</v>
      </c>
      <c r="D15" s="51">
        <v>9560000</v>
      </c>
      <c r="E15" s="51">
        <f t="shared" si="0"/>
        <v>2556000</v>
      </c>
      <c r="F15" s="70">
        <f t="shared" si="1"/>
        <v>0.36493432324386066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369432000</v>
      </c>
      <c r="D16" s="27">
        <f>D12-D13-D14-D15</f>
        <v>409615000</v>
      </c>
      <c r="E16" s="27">
        <f t="shared" si="0"/>
        <v>40183000</v>
      </c>
      <c r="F16" s="28">
        <f t="shared" si="1"/>
        <v>0.10876967885835553</v>
      </c>
    </row>
    <row r="17" spans="1:7" ht="23.1" customHeight="1" x14ac:dyDescent="0.2">
      <c r="A17" s="25">
        <v>5</v>
      </c>
      <c r="B17" s="48" t="s">
        <v>76</v>
      </c>
      <c r="C17" s="51">
        <v>6446000</v>
      </c>
      <c r="D17" s="51">
        <v>6230000</v>
      </c>
      <c r="E17" s="51">
        <f t="shared" si="0"/>
        <v>-216000</v>
      </c>
      <c r="F17" s="70">
        <f t="shared" si="1"/>
        <v>-3.3509152963077875E-2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4135000</v>
      </c>
      <c r="D18" s="51">
        <v>4651000</v>
      </c>
      <c r="E18" s="51">
        <f t="shared" si="0"/>
        <v>516000</v>
      </c>
      <c r="F18" s="70">
        <f t="shared" si="1"/>
        <v>0.12478839177750907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380013000</v>
      </c>
      <c r="D19" s="27">
        <f>SUM(D16:D18)</f>
        <v>420496000</v>
      </c>
      <c r="E19" s="27">
        <f t="shared" si="0"/>
        <v>40483000</v>
      </c>
      <c r="F19" s="28">
        <f t="shared" si="1"/>
        <v>0.10653056605958217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139816000</v>
      </c>
      <c r="D22" s="51">
        <v>139990000</v>
      </c>
      <c r="E22" s="51">
        <f t="shared" ref="E22:E31" si="2">D22-C22</f>
        <v>174000</v>
      </c>
      <c r="F22" s="70">
        <f t="shared" ref="F22:F31" si="3">IF(C22=0,0,E22/C22)</f>
        <v>1.2444927619156606E-3</v>
      </c>
    </row>
    <row r="23" spans="1:7" ht="23.1" customHeight="1" x14ac:dyDescent="0.2">
      <c r="A23" s="25">
        <v>2</v>
      </c>
      <c r="B23" s="48" t="s">
        <v>81</v>
      </c>
      <c r="C23" s="51">
        <v>44208000</v>
      </c>
      <c r="D23" s="51">
        <v>47178000</v>
      </c>
      <c r="E23" s="51">
        <f t="shared" si="2"/>
        <v>2970000</v>
      </c>
      <c r="F23" s="70">
        <f t="shared" si="3"/>
        <v>6.7182410423452771E-2</v>
      </c>
    </row>
    <row r="24" spans="1:7" ht="23.1" customHeight="1" x14ac:dyDescent="0.2">
      <c r="A24" s="25">
        <v>3</v>
      </c>
      <c r="B24" s="48" t="s">
        <v>82</v>
      </c>
      <c r="C24" s="51">
        <v>14982000</v>
      </c>
      <c r="D24" s="51">
        <v>18061000</v>
      </c>
      <c r="E24" s="51">
        <f t="shared" si="2"/>
        <v>3079000</v>
      </c>
      <c r="F24" s="70">
        <f t="shared" si="3"/>
        <v>0.20551328260579363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45842000</v>
      </c>
      <c r="D25" s="51">
        <v>46888000</v>
      </c>
      <c r="E25" s="51">
        <f t="shared" si="2"/>
        <v>1046000</v>
      </c>
      <c r="F25" s="70">
        <f t="shared" si="3"/>
        <v>2.2817503599319403E-2</v>
      </c>
    </row>
    <row r="26" spans="1:7" ht="23.1" customHeight="1" x14ac:dyDescent="0.2">
      <c r="A26" s="25">
        <v>5</v>
      </c>
      <c r="B26" s="48" t="s">
        <v>84</v>
      </c>
      <c r="C26" s="51">
        <v>17942000</v>
      </c>
      <c r="D26" s="51">
        <v>17957000</v>
      </c>
      <c r="E26" s="51">
        <f t="shared" si="2"/>
        <v>15000</v>
      </c>
      <c r="F26" s="70">
        <f t="shared" si="3"/>
        <v>8.3602719875153274E-4</v>
      </c>
    </row>
    <row r="27" spans="1:7" ht="23.1" customHeight="1" x14ac:dyDescent="0.2">
      <c r="A27" s="25">
        <v>6</v>
      </c>
      <c r="B27" s="48" t="s">
        <v>85</v>
      </c>
      <c r="C27" s="51">
        <v>13505000</v>
      </c>
      <c r="D27" s="51">
        <v>12302000</v>
      </c>
      <c r="E27" s="51">
        <f t="shared" si="2"/>
        <v>-1203000</v>
      </c>
      <c r="F27" s="70">
        <f t="shared" si="3"/>
        <v>-8.9078119215105514E-2</v>
      </c>
    </row>
    <row r="28" spans="1:7" ht="23.1" customHeight="1" x14ac:dyDescent="0.2">
      <c r="A28" s="25">
        <v>7</v>
      </c>
      <c r="B28" s="48" t="s">
        <v>86</v>
      </c>
      <c r="C28" s="51">
        <v>3059000</v>
      </c>
      <c r="D28" s="51">
        <v>3110000</v>
      </c>
      <c r="E28" s="51">
        <f t="shared" si="2"/>
        <v>51000</v>
      </c>
      <c r="F28" s="70">
        <f t="shared" si="3"/>
        <v>1.6672115070284408E-2</v>
      </c>
    </row>
    <row r="29" spans="1:7" ht="23.1" customHeight="1" x14ac:dyDescent="0.2">
      <c r="A29" s="25">
        <v>8</v>
      </c>
      <c r="B29" s="48" t="s">
        <v>87</v>
      </c>
      <c r="C29" s="51">
        <v>10036000</v>
      </c>
      <c r="D29" s="51">
        <v>5829000</v>
      </c>
      <c r="E29" s="51">
        <f t="shared" si="2"/>
        <v>-4207000</v>
      </c>
      <c r="F29" s="70">
        <f t="shared" si="3"/>
        <v>-0.41919091271422876</v>
      </c>
    </row>
    <row r="30" spans="1:7" ht="23.1" customHeight="1" x14ac:dyDescent="0.2">
      <c r="A30" s="25">
        <v>9</v>
      </c>
      <c r="B30" s="48" t="s">
        <v>88</v>
      </c>
      <c r="C30" s="51">
        <v>76609000</v>
      </c>
      <c r="D30" s="51">
        <v>102210000</v>
      </c>
      <c r="E30" s="51">
        <f t="shared" si="2"/>
        <v>25601000</v>
      </c>
      <c r="F30" s="70">
        <f t="shared" si="3"/>
        <v>0.33417744651411713</v>
      </c>
    </row>
    <row r="31" spans="1:7" ht="23.1" customHeight="1" x14ac:dyDescent="0.25">
      <c r="A31" s="29"/>
      <c r="B31" s="71" t="s">
        <v>89</v>
      </c>
      <c r="C31" s="27">
        <f>SUM(C22:C30)</f>
        <v>365999000</v>
      </c>
      <c r="D31" s="27">
        <f>SUM(D22:D30)</f>
        <v>393525000</v>
      </c>
      <c r="E31" s="27">
        <f t="shared" si="2"/>
        <v>27526000</v>
      </c>
      <c r="F31" s="28">
        <f t="shared" si="3"/>
        <v>7.5207855759168746E-2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14014000</v>
      </c>
      <c r="D33" s="27">
        <f>+D19-D31</f>
        <v>26971000</v>
      </c>
      <c r="E33" s="27">
        <f>D33-C33</f>
        <v>12957000</v>
      </c>
      <c r="F33" s="28">
        <f>IF(C33=0,0,E33/C33)</f>
        <v>0.92457542457542452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269000</v>
      </c>
      <c r="D38" s="51">
        <v>642000</v>
      </c>
      <c r="E38" s="51">
        <f>D38-C38</f>
        <v>373000</v>
      </c>
      <c r="F38" s="70">
        <f>IF(C38=0,0,E38/C38)</f>
        <v>1.3866171003717471</v>
      </c>
    </row>
    <row r="39" spans="1:6" ht="23.1" customHeight="1" x14ac:dyDescent="0.25">
      <c r="A39" s="20"/>
      <c r="B39" s="71" t="s">
        <v>95</v>
      </c>
      <c r="C39" s="27">
        <f>SUM(C36:C38)</f>
        <v>269000</v>
      </c>
      <c r="D39" s="27">
        <f>SUM(D36:D38)</f>
        <v>642000</v>
      </c>
      <c r="E39" s="27">
        <f>D39-C39</f>
        <v>373000</v>
      </c>
      <c r="F39" s="28">
        <f>IF(C39=0,0,E39/C39)</f>
        <v>1.3866171003717471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14283000</v>
      </c>
      <c r="D41" s="27">
        <f>D33+D39</f>
        <v>27613000</v>
      </c>
      <c r="E41" s="27">
        <f>D41-C41</f>
        <v>13330000</v>
      </c>
      <c r="F41" s="28">
        <f>IF(C41=0,0,E41/C41)</f>
        <v>0.93327732269131136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1497000</v>
      </c>
      <c r="D44" s="51">
        <v>-680000</v>
      </c>
      <c r="E44" s="51">
        <f>D44-C44</f>
        <v>-2177000</v>
      </c>
      <c r="F44" s="70">
        <f>IF(C44=0,0,E44/C44)</f>
        <v>-1.454241816967268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1497000</v>
      </c>
      <c r="D46" s="27">
        <f>SUM(D44:D45)</f>
        <v>-680000</v>
      </c>
      <c r="E46" s="27">
        <f>D46-C46</f>
        <v>-2177000</v>
      </c>
      <c r="F46" s="28">
        <f>IF(C46=0,0,E46/C46)</f>
        <v>-1.454241816967268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15780000</v>
      </c>
      <c r="D48" s="27">
        <f>D41+D46</f>
        <v>26933000</v>
      </c>
      <c r="E48" s="27">
        <f>D48-C48</f>
        <v>11153000</v>
      </c>
      <c r="F48" s="28">
        <f>IF(C48=0,0,E48/C48)</f>
        <v>0.70678073510773132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FILING&amp;R&amp;8BRIDGEPORT HOSPITAL &amp;AMP; HEALTHCARE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2012-06-20T17:28:55Z</cp:lastPrinted>
  <dcterms:created xsi:type="dcterms:W3CDTF">2006-08-03T13:49:12Z</dcterms:created>
  <dcterms:modified xsi:type="dcterms:W3CDTF">2012-06-29T15:05:46Z</dcterms:modified>
</cp:coreProperties>
</file>