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1" i="22"/>
  <c r="C83" i="22"/>
  <c r="C101" i="22"/>
  <c r="E76" i="22"/>
  <c r="D76" i="22"/>
  <c r="D102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8" i="19"/>
  <c r="C77" i="19"/>
  <c r="C63" i="19"/>
  <c r="C59" i="19"/>
  <c r="C60" i="19"/>
  <c r="C48" i="19"/>
  <c r="C64" i="19"/>
  <c r="C37" i="19"/>
  <c r="C36" i="19"/>
  <c r="C38" i="19"/>
  <c r="C127" i="19"/>
  <c r="C129" i="19"/>
  <c r="C133" i="19"/>
  <c r="C33" i="19"/>
  <c r="C32" i="19"/>
  <c r="C22" i="19"/>
  <c r="C21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D70" i="18"/>
  <c r="C70" i="18"/>
  <c r="D69" i="18"/>
  <c r="C69" i="18"/>
  <c r="E64" i="18"/>
  <c r="E63" i="18"/>
  <c r="E62" i="18"/>
  <c r="E61" i="18"/>
  <c r="D60" i="18"/>
  <c r="C60" i="18"/>
  <c r="C289" i="18"/>
  <c r="E59" i="18"/>
  <c r="E58" i="18"/>
  <c r="D55" i="18"/>
  <c r="D54" i="18"/>
  <c r="C54" i="18"/>
  <c r="E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D203" i="17"/>
  <c r="C203" i="17"/>
  <c r="D198" i="17"/>
  <c r="C198" i="17"/>
  <c r="D191" i="17"/>
  <c r="C191" i="17"/>
  <c r="D189" i="17"/>
  <c r="C189" i="17"/>
  <c r="D188" i="17"/>
  <c r="C188" i="17"/>
  <c r="D180" i="17"/>
  <c r="C180" i="17"/>
  <c r="D179" i="17"/>
  <c r="D181" i="17"/>
  <c r="E181" i="17"/>
  <c r="C179" i="17"/>
  <c r="C181" i="17"/>
  <c r="D171" i="17"/>
  <c r="D172" i="17"/>
  <c r="C171" i="17"/>
  <c r="C172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C158" i="17"/>
  <c r="C159" i="17"/>
  <c r="E157" i="17"/>
  <c r="F157" i="17"/>
  <c r="E156" i="17"/>
  <c r="F156" i="17"/>
  <c r="D155" i="17"/>
  <c r="C155" i="17"/>
  <c r="E154" i="17"/>
  <c r="F154" i="17"/>
  <c r="E153" i="17"/>
  <c r="F153" i="17"/>
  <c r="D145" i="17"/>
  <c r="C145" i="17"/>
  <c r="D144" i="17"/>
  <c r="D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C124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E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E76" i="17"/>
  <c r="F76" i="17"/>
  <c r="C76" i="17"/>
  <c r="C77" i="17"/>
  <c r="F74" i="17"/>
  <c r="E74" i="17"/>
  <c r="F73" i="17"/>
  <c r="E73" i="17"/>
  <c r="D67" i="17"/>
  <c r="E67" i="17"/>
  <c r="F67" i="17"/>
  <c r="C67" i="17"/>
  <c r="D66" i="17"/>
  <c r="E66" i="17"/>
  <c r="F66" i="17"/>
  <c r="C66" i="17"/>
  <c r="C68" i="17"/>
  <c r="D59" i="17"/>
  <c r="E59" i="17"/>
  <c r="F59" i="17"/>
  <c r="C59" i="17"/>
  <c r="C60" i="17"/>
  <c r="C61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E47" i="17"/>
  <c r="F47" i="17"/>
  <c r="C47" i="17"/>
  <c r="C48" i="17"/>
  <c r="C90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E35" i="17"/>
  <c r="F35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E20" i="17"/>
  <c r="F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2" i="16"/>
  <c r="E22" i="16"/>
  <c r="C22" i="16"/>
  <c r="F21" i="16"/>
  <c r="E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F55" i="15"/>
  <c r="D55" i="15"/>
  <c r="E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F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C179" i="6"/>
  <c r="E178" i="6"/>
  <c r="F178" i="6"/>
  <c r="F177" i="6"/>
  <c r="E177" i="6"/>
  <c r="E176" i="6"/>
  <c r="F176" i="6"/>
  <c r="E175" i="6"/>
  <c r="F175" i="6"/>
  <c r="E174" i="6"/>
  <c r="F174" i="6"/>
  <c r="E173" i="6"/>
  <c r="F173" i="6"/>
  <c r="E172" i="6"/>
  <c r="F172" i="6"/>
  <c r="F171" i="6"/>
  <c r="E171" i="6"/>
  <c r="E170" i="6"/>
  <c r="F170" i="6"/>
  <c r="E169" i="6"/>
  <c r="F169" i="6"/>
  <c r="E168" i="6"/>
  <c r="F168" i="6"/>
  <c r="D166" i="6"/>
  <c r="C166" i="6"/>
  <c r="E165" i="6"/>
  <c r="F165" i="6"/>
  <c r="F164" i="6"/>
  <c r="E164" i="6"/>
  <c r="E163" i="6"/>
  <c r="F163" i="6"/>
  <c r="E162" i="6"/>
  <c r="F162" i="6"/>
  <c r="E161" i="6"/>
  <c r="F161" i="6"/>
  <c r="E160" i="6"/>
  <c r="F160" i="6"/>
  <c r="E159" i="6"/>
  <c r="F159" i="6"/>
  <c r="F158" i="6"/>
  <c r="E158" i="6"/>
  <c r="E157" i="6"/>
  <c r="F157" i="6"/>
  <c r="E156" i="6"/>
  <c r="F156" i="6"/>
  <c r="E155" i="6"/>
  <c r="F155" i="6"/>
  <c r="D153" i="6"/>
  <c r="C153" i="6"/>
  <c r="E152" i="6"/>
  <c r="F152" i="6"/>
  <c r="F151" i="6"/>
  <c r="E151" i="6"/>
  <c r="E150" i="6"/>
  <c r="F150" i="6"/>
  <c r="E149" i="6"/>
  <c r="F149" i="6"/>
  <c r="E148" i="6"/>
  <c r="F148" i="6"/>
  <c r="E147" i="6"/>
  <c r="F147" i="6"/>
  <c r="E146" i="6"/>
  <c r="F146" i="6"/>
  <c r="F145" i="6"/>
  <c r="E145" i="6"/>
  <c r="E144" i="6"/>
  <c r="F144" i="6"/>
  <c r="E143" i="6"/>
  <c r="F143" i="6"/>
  <c r="E142" i="6"/>
  <c r="F142" i="6"/>
  <c r="D137" i="6"/>
  <c r="C137" i="6"/>
  <c r="E136" i="6"/>
  <c r="F136" i="6"/>
  <c r="F135" i="6"/>
  <c r="E135" i="6"/>
  <c r="E134" i="6"/>
  <c r="F134" i="6"/>
  <c r="E133" i="6"/>
  <c r="F133" i="6"/>
  <c r="E132" i="6"/>
  <c r="F132" i="6"/>
  <c r="E131" i="6"/>
  <c r="F131" i="6"/>
  <c r="E130" i="6"/>
  <c r="F130" i="6"/>
  <c r="F129" i="6"/>
  <c r="E129" i="6"/>
  <c r="E128" i="6"/>
  <c r="F128" i="6"/>
  <c r="E127" i="6"/>
  <c r="F127" i="6"/>
  <c r="E126" i="6"/>
  <c r="F126" i="6"/>
  <c r="D124" i="6"/>
  <c r="C124" i="6"/>
  <c r="E123" i="6"/>
  <c r="F123" i="6"/>
  <c r="F122" i="6"/>
  <c r="E122" i="6"/>
  <c r="E121" i="6"/>
  <c r="F121" i="6"/>
  <c r="E120" i="6"/>
  <c r="F120" i="6"/>
  <c r="E119" i="6"/>
  <c r="F119" i="6"/>
  <c r="E118" i="6"/>
  <c r="F118" i="6"/>
  <c r="E117" i="6"/>
  <c r="F117" i="6"/>
  <c r="F116" i="6"/>
  <c r="E116" i="6"/>
  <c r="E115" i="6"/>
  <c r="F115" i="6"/>
  <c r="E114" i="6"/>
  <c r="F114" i="6"/>
  <c r="E113" i="6"/>
  <c r="F113" i="6"/>
  <c r="D111" i="6"/>
  <c r="C111" i="6"/>
  <c r="E110" i="6"/>
  <c r="F110" i="6"/>
  <c r="F109" i="6"/>
  <c r="E109" i="6"/>
  <c r="E108" i="6"/>
  <c r="F108" i="6"/>
  <c r="E107" i="6"/>
  <c r="F107" i="6"/>
  <c r="E106" i="6"/>
  <c r="F106" i="6"/>
  <c r="E105" i="6"/>
  <c r="F105" i="6"/>
  <c r="E104" i="6"/>
  <c r="F104" i="6"/>
  <c r="F103" i="6"/>
  <c r="E103" i="6"/>
  <c r="E102" i="6"/>
  <c r="F102" i="6"/>
  <c r="E101" i="6"/>
  <c r="F101" i="6"/>
  <c r="E100" i="6"/>
  <c r="F100" i="6"/>
  <c r="D94" i="6"/>
  <c r="C94" i="6"/>
  <c r="D93" i="6"/>
  <c r="C93" i="6"/>
  <c r="F93" i="6"/>
  <c r="D92" i="6"/>
  <c r="C92" i="6"/>
  <c r="D91" i="6"/>
  <c r="C91" i="6"/>
  <c r="D90" i="6"/>
  <c r="C90" i="6"/>
  <c r="D89" i="6"/>
  <c r="C89" i="6"/>
  <c r="D88" i="6"/>
  <c r="C88" i="6"/>
  <c r="D87" i="6"/>
  <c r="C87" i="6"/>
  <c r="F87" i="6"/>
  <c r="D86" i="6"/>
  <c r="C86" i="6"/>
  <c r="D85" i="6"/>
  <c r="C85" i="6"/>
  <c r="D84" i="6"/>
  <c r="D95" i="6"/>
  <c r="C84" i="6"/>
  <c r="D81" i="6"/>
  <c r="C81" i="6"/>
  <c r="E81" i="6"/>
  <c r="E80" i="6"/>
  <c r="F80" i="6"/>
  <c r="F79" i="6"/>
  <c r="E79" i="6"/>
  <c r="E78" i="6"/>
  <c r="F78" i="6"/>
  <c r="E77" i="6"/>
  <c r="F77" i="6"/>
  <c r="E76" i="6"/>
  <c r="F76" i="6"/>
  <c r="E75" i="6"/>
  <c r="F75" i="6"/>
  <c r="E74" i="6"/>
  <c r="F74" i="6"/>
  <c r="F73" i="6"/>
  <c r="E73" i="6"/>
  <c r="E72" i="6"/>
  <c r="F72" i="6"/>
  <c r="E71" i="6"/>
  <c r="F71" i="6"/>
  <c r="E70" i="6"/>
  <c r="F70" i="6"/>
  <c r="D68" i="6"/>
  <c r="C68" i="6"/>
  <c r="E68" i="6"/>
  <c r="E67" i="6"/>
  <c r="F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E41" i="6"/>
  <c r="F41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C73" i="4"/>
  <c r="E72" i="4"/>
  <c r="F72" i="4"/>
  <c r="E71" i="4"/>
  <c r="F71" i="4"/>
  <c r="E70" i="4"/>
  <c r="F70" i="4"/>
  <c r="F67" i="4"/>
  <c r="E67" i="4"/>
  <c r="E64" i="4"/>
  <c r="F64" i="4"/>
  <c r="E63" i="4"/>
  <c r="F63" i="4"/>
  <c r="D61" i="4"/>
  <c r="D65" i="4"/>
  <c r="C61" i="4"/>
  <c r="E60" i="4"/>
  <c r="F60" i="4"/>
  <c r="E59" i="4"/>
  <c r="F59" i="4"/>
  <c r="D56" i="4"/>
  <c r="D75" i="4"/>
  <c r="C56" i="4"/>
  <c r="E55" i="4"/>
  <c r="F55" i="4"/>
  <c r="F54" i="4"/>
  <c r="E54" i="4"/>
  <c r="E53" i="4"/>
  <c r="F53" i="4"/>
  <c r="F52" i="4"/>
  <c r="E52" i="4"/>
  <c r="E51" i="4"/>
  <c r="F51" i="4"/>
  <c r="F50" i="4"/>
  <c r="E50" i="4"/>
  <c r="A50" i="4"/>
  <c r="A51" i="4"/>
  <c r="A52" i="4"/>
  <c r="A53" i="4"/>
  <c r="A54" i="4"/>
  <c r="A55" i="4"/>
  <c r="E49" i="4"/>
  <c r="F49" i="4"/>
  <c r="E40" i="4"/>
  <c r="F40" i="4"/>
  <c r="D38" i="4"/>
  <c r="D41" i="4"/>
  <c r="C38" i="4"/>
  <c r="E37" i="4"/>
  <c r="F37" i="4"/>
  <c r="E36" i="4"/>
  <c r="F36" i="4"/>
  <c r="E33" i="4"/>
  <c r="F33" i="4"/>
  <c r="F32" i="4"/>
  <c r="E32" i="4"/>
  <c r="F31" i="4"/>
  <c r="E31" i="4"/>
  <c r="D29" i="4"/>
  <c r="C29" i="4"/>
  <c r="F28" i="4"/>
  <c r="E28" i="4"/>
  <c r="F27" i="4"/>
  <c r="E27" i="4"/>
  <c r="E26" i="4"/>
  <c r="F26" i="4"/>
  <c r="E25" i="4"/>
  <c r="F25" i="4"/>
  <c r="D22" i="4"/>
  <c r="C22" i="4"/>
  <c r="E21" i="4"/>
  <c r="F21" i="4"/>
  <c r="E20" i="4"/>
  <c r="F20" i="4"/>
  <c r="E19" i="4"/>
  <c r="F19" i="4"/>
  <c r="F18" i="4"/>
  <c r="E18" i="4"/>
  <c r="E17" i="4"/>
  <c r="F17" i="4"/>
  <c r="E16" i="4"/>
  <c r="F16" i="4"/>
  <c r="E15" i="4"/>
  <c r="F15" i="4"/>
  <c r="F14" i="4"/>
  <c r="E14" i="4"/>
  <c r="E13" i="4"/>
  <c r="F13" i="4"/>
  <c r="D108" i="22"/>
  <c r="D109" i="22"/>
  <c r="D103" i="22"/>
  <c r="C109" i="22"/>
  <c r="C108" i="22"/>
  <c r="E109" i="22"/>
  <c r="E108" i="22"/>
  <c r="D22" i="22"/>
  <c r="C23" i="22"/>
  <c r="E23" i="22"/>
  <c r="D33" i="22"/>
  <c r="C34" i="22"/>
  <c r="E34" i="22"/>
  <c r="C102" i="22"/>
  <c r="C103" i="22"/>
  <c r="E102" i="22"/>
  <c r="E103" i="22"/>
  <c r="D111" i="22"/>
  <c r="C22" i="22"/>
  <c r="E22" i="22"/>
  <c r="D30" i="22"/>
  <c r="D36" i="22"/>
  <c r="D40" i="22"/>
  <c r="D46" i="22"/>
  <c r="F21" i="21"/>
  <c r="F20" i="20"/>
  <c r="C41" i="20"/>
  <c r="F40" i="20"/>
  <c r="D41" i="20"/>
  <c r="E39" i="20"/>
  <c r="E41" i="20"/>
  <c r="E19" i="20"/>
  <c r="F19" i="20"/>
  <c r="E43" i="20"/>
  <c r="C65" i="19"/>
  <c r="C114" i="19"/>
  <c r="C116" i="19"/>
  <c r="C119" i="19"/>
  <c r="C123" i="19"/>
  <c r="D192" i="17"/>
  <c r="E129" i="17"/>
  <c r="E130" i="17"/>
  <c r="E135" i="17"/>
  <c r="E145" i="17"/>
  <c r="F145" i="17"/>
  <c r="E155" i="17"/>
  <c r="E229" i="17"/>
  <c r="E230" i="17"/>
  <c r="E238" i="17"/>
  <c r="E294" i="17"/>
  <c r="E295" i="17"/>
  <c r="E296" i="17"/>
  <c r="E297" i="17"/>
  <c r="E298" i="17"/>
  <c r="E299" i="17"/>
  <c r="C49" i="19"/>
  <c r="E33" i="18"/>
  <c r="D258" i="18"/>
  <c r="D100" i="18"/>
  <c r="D98" i="18"/>
  <c r="D96" i="18"/>
  <c r="D89" i="18"/>
  <c r="D87" i="18"/>
  <c r="D85" i="18"/>
  <c r="D83" i="18"/>
  <c r="D101" i="18"/>
  <c r="D99" i="18"/>
  <c r="D97" i="18"/>
  <c r="D95" i="18"/>
  <c r="D88" i="18"/>
  <c r="D86" i="18"/>
  <c r="D84" i="18"/>
  <c r="E44" i="18"/>
  <c r="E43" i="18"/>
  <c r="E55" i="18"/>
  <c r="C258" i="18"/>
  <c r="C101" i="18"/>
  <c r="C99" i="18"/>
  <c r="C97" i="18"/>
  <c r="C95" i="18"/>
  <c r="C88" i="18"/>
  <c r="C86" i="18"/>
  <c r="C84" i="18"/>
  <c r="C100" i="18"/>
  <c r="C98" i="18"/>
  <c r="C96" i="18"/>
  <c r="C89" i="18"/>
  <c r="C87" i="18"/>
  <c r="C85" i="18"/>
  <c r="C83" i="18"/>
  <c r="E95" i="17"/>
  <c r="F95" i="17"/>
  <c r="E100" i="17"/>
  <c r="E110" i="17"/>
  <c r="F110" i="17"/>
  <c r="E120" i="17"/>
  <c r="F120" i="17"/>
  <c r="E164" i="17"/>
  <c r="F164" i="17"/>
  <c r="E165" i="17"/>
  <c r="F165" i="17"/>
  <c r="E170" i="17"/>
  <c r="F170" i="17"/>
  <c r="E180" i="17"/>
  <c r="E223" i="17"/>
  <c r="C283" i="18"/>
  <c r="E283" i="18"/>
  <c r="E21" i="18"/>
  <c r="D22" i="18"/>
  <c r="E37" i="18"/>
  <c r="C55" i="18"/>
  <c r="D289" i="18"/>
  <c r="E289" i="18"/>
  <c r="D71" i="18"/>
  <c r="D65" i="18"/>
  <c r="D294" i="18"/>
  <c r="E294" i="18"/>
  <c r="C65" i="18"/>
  <c r="C66" i="18"/>
  <c r="C295" i="18"/>
  <c r="C71" i="18"/>
  <c r="C76" i="18"/>
  <c r="C284" i="18"/>
  <c r="C294" i="18"/>
  <c r="E32" i="18"/>
  <c r="E36" i="18"/>
  <c r="E60" i="18"/>
  <c r="E69" i="18"/>
  <c r="D76" i="18"/>
  <c r="E70" i="18"/>
  <c r="E139" i="18"/>
  <c r="D144" i="18"/>
  <c r="C145" i="18"/>
  <c r="C156" i="18"/>
  <c r="C157" i="18"/>
  <c r="E157" i="18"/>
  <c r="C163" i="18"/>
  <c r="E163" i="18"/>
  <c r="D175" i="18"/>
  <c r="E175" i="18"/>
  <c r="C180" i="18"/>
  <c r="E189" i="18"/>
  <c r="C229" i="18"/>
  <c r="E229" i="18"/>
  <c r="C210" i="18"/>
  <c r="E205" i="18"/>
  <c r="D241" i="18"/>
  <c r="E242" i="18"/>
  <c r="E243" i="18"/>
  <c r="E244" i="18"/>
  <c r="E245" i="18"/>
  <c r="D252" i="18"/>
  <c r="D253" i="18"/>
  <c r="E302" i="18"/>
  <c r="C303" i="18"/>
  <c r="C306" i="18"/>
  <c r="C310" i="18"/>
  <c r="C261" i="18"/>
  <c r="E261" i="18"/>
  <c r="C189" i="18"/>
  <c r="E188" i="18"/>
  <c r="D260" i="18"/>
  <c r="E195" i="18"/>
  <c r="D234" i="18"/>
  <c r="D211" i="18"/>
  <c r="E210" i="18"/>
  <c r="C253" i="18"/>
  <c r="E303" i="18"/>
  <c r="D306" i="18"/>
  <c r="D320" i="18"/>
  <c r="E320" i="18"/>
  <c r="E316" i="18"/>
  <c r="E326" i="18"/>
  <c r="D330" i="18"/>
  <c r="E330" i="18"/>
  <c r="E215" i="18"/>
  <c r="C217" i="18"/>
  <c r="C241" i="18"/>
  <c r="E217" i="18"/>
  <c r="E219" i="18"/>
  <c r="E221" i="18"/>
  <c r="D222" i="18"/>
  <c r="C252" i="18"/>
  <c r="C254" i="18"/>
  <c r="E265" i="18"/>
  <c r="E314" i="18"/>
  <c r="E216" i="18"/>
  <c r="E218" i="18"/>
  <c r="E220" i="18"/>
  <c r="C222" i="18"/>
  <c r="C246" i="18"/>
  <c r="D223" i="18"/>
  <c r="E233" i="18"/>
  <c r="E301" i="18"/>
  <c r="E324" i="18"/>
  <c r="C32" i="17"/>
  <c r="D32" i="17"/>
  <c r="E31" i="17"/>
  <c r="F31" i="17"/>
  <c r="E89" i="17"/>
  <c r="F89" i="17"/>
  <c r="C21" i="17"/>
  <c r="E30" i="17"/>
  <c r="F30" i="17"/>
  <c r="D37" i="17"/>
  <c r="D48" i="17"/>
  <c r="D60" i="17"/>
  <c r="D68" i="17"/>
  <c r="E68" i="17"/>
  <c r="F68" i="17"/>
  <c r="E85" i="17"/>
  <c r="F85" i="17"/>
  <c r="C103" i="17"/>
  <c r="F111" i="17"/>
  <c r="D207" i="17"/>
  <c r="E137" i="17"/>
  <c r="D138" i="17"/>
  <c r="E146" i="17"/>
  <c r="F146" i="17"/>
  <c r="E159" i="17"/>
  <c r="C173" i="17"/>
  <c r="C174" i="17"/>
  <c r="F181" i="17"/>
  <c r="D21" i="17"/>
  <c r="C160" i="17"/>
  <c r="C125" i="17"/>
  <c r="C139" i="17"/>
  <c r="C104" i="17"/>
  <c r="D77" i="17"/>
  <c r="E77" i="17"/>
  <c r="E88" i="17"/>
  <c r="F88" i="17"/>
  <c r="E94" i="17"/>
  <c r="F94" i="17"/>
  <c r="E102" i="17"/>
  <c r="F102" i="17"/>
  <c r="D103" i="17"/>
  <c r="E103" i="17"/>
  <c r="C207" i="17"/>
  <c r="C138" i="17"/>
  <c r="F137" i="17"/>
  <c r="F159" i="17"/>
  <c r="E172" i="17"/>
  <c r="F172" i="17"/>
  <c r="D173" i="17"/>
  <c r="E173" i="17"/>
  <c r="C37" i="17"/>
  <c r="F100" i="17"/>
  <c r="D124" i="17"/>
  <c r="E124" i="17"/>
  <c r="F124" i="17"/>
  <c r="F129" i="17"/>
  <c r="F130" i="17"/>
  <c r="F135" i="17"/>
  <c r="F155" i="17"/>
  <c r="F180" i="17"/>
  <c r="D277" i="17"/>
  <c r="D261" i="17"/>
  <c r="D214" i="17"/>
  <c r="D206" i="17"/>
  <c r="E206" i="17"/>
  <c r="D278" i="17"/>
  <c r="D262" i="17"/>
  <c r="D215" i="17"/>
  <c r="D190" i="17"/>
  <c r="E190" i="17"/>
  <c r="D280" i="17"/>
  <c r="D264" i="17"/>
  <c r="D200" i="17"/>
  <c r="D193" i="17"/>
  <c r="C192" i="17"/>
  <c r="C193" i="17"/>
  <c r="C290" i="17"/>
  <c r="C274" i="17"/>
  <c r="E198" i="17"/>
  <c r="F198" i="17"/>
  <c r="C285" i="17"/>
  <c r="C269" i="17"/>
  <c r="E204" i="17"/>
  <c r="F204" i="17"/>
  <c r="F227" i="17"/>
  <c r="E239" i="17"/>
  <c r="E101" i="17"/>
  <c r="F101" i="17"/>
  <c r="E109" i="17"/>
  <c r="F109" i="17"/>
  <c r="E123" i="17"/>
  <c r="F123" i="17"/>
  <c r="E136" i="17"/>
  <c r="F136" i="17"/>
  <c r="E144" i="17"/>
  <c r="F144" i="17"/>
  <c r="E158" i="17"/>
  <c r="F158" i="17"/>
  <c r="E171" i="17"/>
  <c r="F171" i="17"/>
  <c r="E179" i="17"/>
  <c r="F179" i="17"/>
  <c r="C277" i="17"/>
  <c r="C261" i="17"/>
  <c r="C254" i="17"/>
  <c r="C214" i="17"/>
  <c r="C304" i="17"/>
  <c r="E188" i="17"/>
  <c r="F188" i="17"/>
  <c r="C278" i="17"/>
  <c r="C262" i="17"/>
  <c r="C255" i="17"/>
  <c r="C215" i="17"/>
  <c r="E189" i="17"/>
  <c r="F189" i="17"/>
  <c r="C190" i="17"/>
  <c r="C280" i="17"/>
  <c r="C264" i="17"/>
  <c r="E191" i="17"/>
  <c r="F191" i="17"/>
  <c r="C199" i="17"/>
  <c r="C200" i="17"/>
  <c r="C283" i="17"/>
  <c r="C267" i="17"/>
  <c r="E203" i="17"/>
  <c r="F203" i="17"/>
  <c r="C205" i="17"/>
  <c r="C206" i="17"/>
  <c r="F239" i="17"/>
  <c r="D290" i="17"/>
  <c r="E290" i="17"/>
  <c r="D274" i="17"/>
  <c r="E274" i="17"/>
  <c r="D199" i="17"/>
  <c r="D283" i="17"/>
  <c r="D267" i="17"/>
  <c r="D285" i="17"/>
  <c r="E285" i="17"/>
  <c r="D269" i="17"/>
  <c r="D205" i="17"/>
  <c r="E205" i="17"/>
  <c r="F223" i="17"/>
  <c r="F229" i="17"/>
  <c r="F230" i="17"/>
  <c r="F238" i="17"/>
  <c r="E306" i="17"/>
  <c r="E226" i="17"/>
  <c r="F226" i="17"/>
  <c r="E237" i="17"/>
  <c r="F237" i="17"/>
  <c r="E250" i="17"/>
  <c r="F250" i="17"/>
  <c r="F294" i="17"/>
  <c r="F295" i="17"/>
  <c r="F296" i="17"/>
  <c r="F297" i="17"/>
  <c r="F298" i="17"/>
  <c r="F299" i="17"/>
  <c r="F22" i="16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17" i="12"/>
  <c r="C20" i="12"/>
  <c r="D20" i="12"/>
  <c r="E17" i="12"/>
  <c r="E15" i="12"/>
  <c r="F15" i="12"/>
  <c r="F43" i="11"/>
  <c r="F41" i="11"/>
  <c r="F75" i="11"/>
  <c r="F65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8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D52" i="6"/>
  <c r="E52" i="6"/>
  <c r="F52" i="6"/>
  <c r="F85" i="6"/>
  <c r="E85" i="6"/>
  <c r="E87" i="6"/>
  <c r="E89" i="6"/>
  <c r="F89" i="6"/>
  <c r="E91" i="6"/>
  <c r="F91" i="6"/>
  <c r="E93" i="6"/>
  <c r="C95" i="6"/>
  <c r="F68" i="6"/>
  <c r="F81" i="6"/>
  <c r="E84" i="6"/>
  <c r="F84" i="6"/>
  <c r="E86" i="6"/>
  <c r="F86" i="6"/>
  <c r="E88" i="6"/>
  <c r="F88" i="6"/>
  <c r="E90" i="6"/>
  <c r="F90" i="6"/>
  <c r="E92" i="6"/>
  <c r="F92" i="6"/>
  <c r="E94" i="6"/>
  <c r="F94" i="6"/>
  <c r="E111" i="6"/>
  <c r="F111" i="6"/>
  <c r="E124" i="6"/>
  <c r="F124" i="6"/>
  <c r="E137" i="6"/>
  <c r="F137" i="6"/>
  <c r="E153" i="6"/>
  <c r="F153" i="6"/>
  <c r="E166" i="6"/>
  <c r="F166" i="6"/>
  <c r="E179" i="6"/>
  <c r="F179" i="6"/>
  <c r="D21" i="5"/>
  <c r="E18" i="5"/>
  <c r="C21" i="5"/>
  <c r="F18" i="5"/>
  <c r="E16" i="5"/>
  <c r="F16" i="5"/>
  <c r="D43" i="4"/>
  <c r="F38" i="4"/>
  <c r="F61" i="4"/>
  <c r="E22" i="4"/>
  <c r="F22" i="4"/>
  <c r="E29" i="4"/>
  <c r="F29" i="4"/>
  <c r="E38" i="4"/>
  <c r="C41" i="4"/>
  <c r="E56" i="4"/>
  <c r="F56" i="4"/>
  <c r="E61" i="4"/>
  <c r="C65" i="4"/>
  <c r="C75" i="4"/>
  <c r="E73" i="4"/>
  <c r="F73" i="4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D56" i="22"/>
  <c r="D48" i="22"/>
  <c r="D38" i="22"/>
  <c r="D113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F39" i="20"/>
  <c r="F43" i="20"/>
  <c r="E46" i="20"/>
  <c r="F46" i="20"/>
  <c r="F41" i="20"/>
  <c r="C259" i="18"/>
  <c r="C263" i="18"/>
  <c r="C77" i="18"/>
  <c r="E222" i="18"/>
  <c r="D246" i="18"/>
  <c r="E246" i="18"/>
  <c r="E306" i="18"/>
  <c r="D310" i="18"/>
  <c r="E310" i="18"/>
  <c r="D235" i="18"/>
  <c r="E260" i="18"/>
  <c r="E253" i="18"/>
  <c r="E241" i="18"/>
  <c r="C211" i="18"/>
  <c r="C235" i="18"/>
  <c r="C234" i="18"/>
  <c r="E156" i="18"/>
  <c r="C169" i="18"/>
  <c r="E71" i="18"/>
  <c r="C102" i="18"/>
  <c r="C103" i="18"/>
  <c r="C264" i="18"/>
  <c r="C266" i="18"/>
  <c r="C267" i="18"/>
  <c r="E86" i="18"/>
  <c r="E95" i="18"/>
  <c r="E99" i="18"/>
  <c r="E83" i="18"/>
  <c r="E87" i="18"/>
  <c r="D102" i="18"/>
  <c r="E102" i="18"/>
  <c r="E96" i="18"/>
  <c r="E100" i="18"/>
  <c r="C223" i="18"/>
  <c r="C247" i="18"/>
  <c r="E234" i="18"/>
  <c r="D254" i="18"/>
  <c r="E254" i="18"/>
  <c r="E252" i="18"/>
  <c r="D180" i="18"/>
  <c r="E180" i="18"/>
  <c r="D145" i="18"/>
  <c r="E144" i="18"/>
  <c r="D168" i="18"/>
  <c r="E168" i="18"/>
  <c r="C168" i="18"/>
  <c r="E76" i="18"/>
  <c r="D77" i="18"/>
  <c r="E65" i="18"/>
  <c r="D66" i="18"/>
  <c r="D284" i="18"/>
  <c r="E284" i="18"/>
  <c r="E22" i="18"/>
  <c r="C90" i="18"/>
  <c r="C91" i="18"/>
  <c r="C105" i="18"/>
  <c r="D259" i="18"/>
  <c r="E84" i="18"/>
  <c r="D90" i="18"/>
  <c r="E88" i="18"/>
  <c r="E97" i="18"/>
  <c r="E101" i="18"/>
  <c r="E85" i="18"/>
  <c r="E89" i="18"/>
  <c r="E98" i="18"/>
  <c r="E258" i="18"/>
  <c r="E283" i="17"/>
  <c r="D286" i="17"/>
  <c r="F205" i="17"/>
  <c r="C271" i="17"/>
  <c r="C268" i="17"/>
  <c r="C263" i="17"/>
  <c r="C194" i="17"/>
  <c r="D194" i="17"/>
  <c r="E194" i="17"/>
  <c r="E193" i="17"/>
  <c r="F193" i="17"/>
  <c r="D272" i="17"/>
  <c r="E272" i="17"/>
  <c r="E262" i="17"/>
  <c r="E269" i="17"/>
  <c r="F269" i="17"/>
  <c r="E267" i="17"/>
  <c r="F267" i="17"/>
  <c r="D270" i="17"/>
  <c r="E270" i="17"/>
  <c r="E199" i="17"/>
  <c r="F199" i="17"/>
  <c r="F206" i="17"/>
  <c r="C270" i="17"/>
  <c r="C300" i="17"/>
  <c r="F190" i="17"/>
  <c r="C272" i="17"/>
  <c r="F262" i="17"/>
  <c r="C287" i="17"/>
  <c r="C284" i="17"/>
  <c r="C279" i="17"/>
  <c r="F285" i="17"/>
  <c r="F290" i="17"/>
  <c r="E200" i="17"/>
  <c r="F200" i="17"/>
  <c r="E280" i="17"/>
  <c r="F280" i="17"/>
  <c r="E215" i="17"/>
  <c r="F215" i="17"/>
  <c r="D255" i="17"/>
  <c r="E255" i="17"/>
  <c r="F255" i="17"/>
  <c r="E278" i="17"/>
  <c r="F278" i="17"/>
  <c r="D288" i="17"/>
  <c r="E288" i="17"/>
  <c r="E214" i="17"/>
  <c r="F214" i="17"/>
  <c r="D254" i="17"/>
  <c r="D216" i="17"/>
  <c r="E277" i="17"/>
  <c r="F277" i="17"/>
  <c r="D287" i="17"/>
  <c r="D284" i="17"/>
  <c r="E284" i="17"/>
  <c r="D279" i="17"/>
  <c r="E279" i="17"/>
  <c r="E192" i="17"/>
  <c r="F192" i="17"/>
  <c r="D161" i="17"/>
  <c r="D126" i="17"/>
  <c r="D91" i="17"/>
  <c r="D49" i="17"/>
  <c r="E21" i="17"/>
  <c r="F21" i="17"/>
  <c r="D282" i="17"/>
  <c r="E138" i="17"/>
  <c r="F138" i="17"/>
  <c r="D208" i="17"/>
  <c r="D210" i="17"/>
  <c r="E207" i="17"/>
  <c r="F103" i="17"/>
  <c r="E60" i="17"/>
  <c r="F60" i="17"/>
  <c r="D61" i="17"/>
  <c r="D62" i="17"/>
  <c r="E37" i="17"/>
  <c r="F37" i="17"/>
  <c r="C161" i="17"/>
  <c r="C126" i="17"/>
  <c r="C196" i="17"/>
  <c r="C49" i="17"/>
  <c r="C91" i="17"/>
  <c r="C282" i="17"/>
  <c r="C286" i="17"/>
  <c r="F283" i="17"/>
  <c r="C288" i="17"/>
  <c r="C216" i="17"/>
  <c r="F274" i="17"/>
  <c r="D300" i="17"/>
  <c r="E300" i="17"/>
  <c r="E264" i="17"/>
  <c r="F264" i="17"/>
  <c r="D271" i="17"/>
  <c r="D268" i="17"/>
  <c r="E268" i="17"/>
  <c r="E261" i="17"/>
  <c r="F261" i="17"/>
  <c r="D263" i="17"/>
  <c r="E263" i="17"/>
  <c r="F207" i="17"/>
  <c r="C208" i="17"/>
  <c r="D266" i="17"/>
  <c r="F173" i="17"/>
  <c r="D160" i="17"/>
  <c r="E160" i="17"/>
  <c r="F160" i="17"/>
  <c r="D125" i="17"/>
  <c r="E125" i="17"/>
  <c r="F125" i="17"/>
  <c r="D90" i="17"/>
  <c r="E90" i="17"/>
  <c r="F90" i="17"/>
  <c r="E48" i="17"/>
  <c r="F48" i="17"/>
  <c r="C266" i="17"/>
  <c r="D175" i="17"/>
  <c r="D140" i="17"/>
  <c r="D105" i="17"/>
  <c r="E32" i="17"/>
  <c r="F32" i="17"/>
  <c r="C175" i="17"/>
  <c r="C140" i="17"/>
  <c r="C105" i="17"/>
  <c r="C6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E112" i="8"/>
  <c r="E111" i="8"/>
  <c r="E28" i="8"/>
  <c r="D141" i="8"/>
  <c r="C112" i="8"/>
  <c r="C111" i="8"/>
  <c r="C28" i="8"/>
  <c r="C158" i="8"/>
  <c r="E141" i="8"/>
  <c r="E158" i="8"/>
  <c r="C141" i="8"/>
  <c r="D24" i="8"/>
  <c r="D20" i="8"/>
  <c r="D17" i="8"/>
  <c r="E95" i="6"/>
  <c r="F95" i="6"/>
  <c r="C35" i="5"/>
  <c r="E21" i="5"/>
  <c r="F21" i="5"/>
  <c r="D35" i="5"/>
  <c r="E75" i="4"/>
  <c r="F75" i="4"/>
  <c r="C43" i="4"/>
  <c r="E43" i="4"/>
  <c r="E41" i="4"/>
  <c r="F41" i="4"/>
  <c r="E65" i="4"/>
  <c r="F65" i="4"/>
  <c r="C55" i="22"/>
  <c r="C47" i="22"/>
  <c r="C37" i="22"/>
  <c r="C112" i="22"/>
  <c r="E55" i="22"/>
  <c r="E47" i="22"/>
  <c r="E37" i="22"/>
  <c r="E112" i="22"/>
  <c r="D195" i="17"/>
  <c r="C113" i="22"/>
  <c r="C56" i="22"/>
  <c r="C48" i="22"/>
  <c r="C38" i="22"/>
  <c r="D112" i="22"/>
  <c r="D55" i="22"/>
  <c r="D47" i="22"/>
  <c r="D37" i="22"/>
  <c r="E113" i="22"/>
  <c r="E56" i="22"/>
  <c r="E48" i="22"/>
  <c r="E38" i="22"/>
  <c r="D196" i="17"/>
  <c r="E196" i="17"/>
  <c r="F196" i="17"/>
  <c r="E90" i="18"/>
  <c r="D263" i="18"/>
  <c r="E259" i="18"/>
  <c r="E66" i="18"/>
  <c r="D295" i="18"/>
  <c r="E295" i="18"/>
  <c r="D127" i="18"/>
  <c r="D125" i="18"/>
  <c r="D123" i="18"/>
  <c r="D121" i="18"/>
  <c r="D114" i="18"/>
  <c r="D112" i="18"/>
  <c r="D110" i="18"/>
  <c r="E77" i="18"/>
  <c r="D126" i="18"/>
  <c r="D124" i="18"/>
  <c r="D122" i="18"/>
  <c r="D115" i="18"/>
  <c r="D113" i="18"/>
  <c r="D111" i="18"/>
  <c r="D109" i="18"/>
  <c r="D91" i="18"/>
  <c r="D103" i="18"/>
  <c r="E103" i="18"/>
  <c r="C181" i="18"/>
  <c r="E235" i="18"/>
  <c r="E223" i="18"/>
  <c r="C126" i="18"/>
  <c r="C124" i="18"/>
  <c r="C122" i="18"/>
  <c r="C115" i="18"/>
  <c r="C113" i="18"/>
  <c r="C111" i="18"/>
  <c r="C109" i="18"/>
  <c r="C127" i="18"/>
  <c r="C125" i="18"/>
  <c r="C123" i="18"/>
  <c r="C121" i="18"/>
  <c r="C114" i="18"/>
  <c r="C112" i="18"/>
  <c r="C110" i="18"/>
  <c r="C116" i="18"/>
  <c r="D169" i="18"/>
  <c r="E169" i="18"/>
  <c r="D181" i="18"/>
  <c r="E181" i="18"/>
  <c r="E145" i="18"/>
  <c r="C269" i="18"/>
  <c r="C268" i="18"/>
  <c r="E211" i="18"/>
  <c r="D247" i="18"/>
  <c r="E247" i="18"/>
  <c r="D211" i="17"/>
  <c r="C176" i="17"/>
  <c r="E105" i="17"/>
  <c r="D106" i="17"/>
  <c r="C209" i="17"/>
  <c r="E271" i="17"/>
  <c r="D304" i="17"/>
  <c r="D273" i="17"/>
  <c r="C63" i="17"/>
  <c r="C141" i="17"/>
  <c r="C210" i="17"/>
  <c r="E210" i="17"/>
  <c r="E140" i="17"/>
  <c r="F140" i="17"/>
  <c r="D141" i="17"/>
  <c r="E266" i="17"/>
  <c r="F266" i="17"/>
  <c r="D265" i="17"/>
  <c r="F288" i="17"/>
  <c r="C92" i="17"/>
  <c r="C50" i="17"/>
  <c r="C127" i="17"/>
  <c r="D92" i="17"/>
  <c r="E91" i="17"/>
  <c r="F91" i="17"/>
  <c r="E161" i="17"/>
  <c r="F161" i="17"/>
  <c r="D162" i="17"/>
  <c r="E287" i="17"/>
  <c r="F287" i="17"/>
  <c r="D291" i="17"/>
  <c r="D289" i="17"/>
  <c r="E216" i="17"/>
  <c r="F216" i="17"/>
  <c r="F279" i="17"/>
  <c r="C291" i="17"/>
  <c r="C289" i="17"/>
  <c r="F272" i="17"/>
  <c r="C265" i="17"/>
  <c r="F270" i="17"/>
  <c r="F194" i="17"/>
  <c r="C195" i="17"/>
  <c r="E195" i="17"/>
  <c r="F263" i="17"/>
  <c r="C273" i="17"/>
  <c r="F271" i="17"/>
  <c r="E286" i="17"/>
  <c r="F286" i="17"/>
  <c r="C106" i="17"/>
  <c r="F105" i="17"/>
  <c r="E62" i="17"/>
  <c r="F62" i="17"/>
  <c r="D63" i="17"/>
  <c r="E63" i="17"/>
  <c r="E175" i="17"/>
  <c r="F175" i="17"/>
  <c r="D176" i="17"/>
  <c r="E176" i="17"/>
  <c r="C162" i="17"/>
  <c r="D209" i="17"/>
  <c r="E209" i="17"/>
  <c r="D174" i="17"/>
  <c r="E174" i="17"/>
  <c r="F174" i="17"/>
  <c r="D139" i="17"/>
  <c r="E139" i="17"/>
  <c r="F139" i="17"/>
  <c r="D104" i="17"/>
  <c r="E104" i="17"/>
  <c r="F104" i="17"/>
  <c r="E61" i="17"/>
  <c r="F61" i="17"/>
  <c r="E208" i="17"/>
  <c r="F208" i="17"/>
  <c r="E282" i="17"/>
  <c r="F282" i="17"/>
  <c r="E49" i="17"/>
  <c r="F49" i="17"/>
  <c r="D50" i="17"/>
  <c r="E126" i="17"/>
  <c r="F126" i="17"/>
  <c r="D127" i="17"/>
  <c r="D197" i="17"/>
  <c r="E254" i="17"/>
  <c r="F254" i="17"/>
  <c r="D281" i="17"/>
  <c r="F284" i="17"/>
  <c r="F300" i="17"/>
  <c r="F268" i="17"/>
  <c r="C281" i="17"/>
  <c r="D70" i="13"/>
  <c r="D72" i="13"/>
  <c r="D69" i="13"/>
  <c r="D22" i="13"/>
  <c r="D42" i="12"/>
  <c r="E34" i="12"/>
  <c r="F34" i="12"/>
  <c r="C42" i="12"/>
  <c r="D28" i="8"/>
  <c r="D112" i="8"/>
  <c r="D111" i="8"/>
  <c r="C99" i="8"/>
  <c r="C101" i="8"/>
  <c r="C98" i="8"/>
  <c r="C22" i="8"/>
  <c r="E99" i="8"/>
  <c r="E101" i="8"/>
  <c r="E98" i="8"/>
  <c r="E22" i="8"/>
  <c r="C43" i="5"/>
  <c r="E35" i="5"/>
  <c r="F35" i="5"/>
  <c r="D43" i="5"/>
  <c r="F43" i="4"/>
  <c r="C271" i="18"/>
  <c r="C117" i="18"/>
  <c r="C128" i="18"/>
  <c r="C129" i="18"/>
  <c r="E109" i="18"/>
  <c r="E113" i="18"/>
  <c r="E122" i="18"/>
  <c r="D128" i="18"/>
  <c r="E128" i="18"/>
  <c r="E126" i="18"/>
  <c r="D116" i="18"/>
  <c r="E116" i="18"/>
  <c r="E110" i="18"/>
  <c r="E114" i="18"/>
  <c r="E123" i="18"/>
  <c r="E127" i="18"/>
  <c r="E263" i="18"/>
  <c r="D264" i="18"/>
  <c r="D105" i="18"/>
  <c r="E105" i="18"/>
  <c r="E91" i="18"/>
  <c r="E111" i="18"/>
  <c r="E115" i="18"/>
  <c r="E124" i="18"/>
  <c r="E112" i="18"/>
  <c r="D129" i="18"/>
  <c r="E121" i="18"/>
  <c r="E125" i="18"/>
  <c r="E50" i="17"/>
  <c r="D70" i="17"/>
  <c r="E281" i="17"/>
  <c r="F281" i="17"/>
  <c r="E197" i="17"/>
  <c r="F265" i="17"/>
  <c r="C305" i="17"/>
  <c r="F291" i="17"/>
  <c r="E291" i="17"/>
  <c r="D305" i="17"/>
  <c r="D323" i="17"/>
  <c r="E162" i="17"/>
  <c r="D183" i="17"/>
  <c r="C324" i="17"/>
  <c r="C113" i="17"/>
  <c r="F92" i="17"/>
  <c r="E265" i="17"/>
  <c r="E273" i="17"/>
  <c r="F273" i="17"/>
  <c r="E106" i="17"/>
  <c r="F106" i="17"/>
  <c r="E127" i="17"/>
  <c r="D148" i="17"/>
  <c r="C323" i="17"/>
  <c r="C183" i="17"/>
  <c r="F162" i="17"/>
  <c r="F195" i="17"/>
  <c r="E289" i="17"/>
  <c r="F289" i="17"/>
  <c r="D324" i="17"/>
  <c r="D113" i="17"/>
  <c r="E113" i="17"/>
  <c r="E92" i="17"/>
  <c r="C148" i="17"/>
  <c r="C197" i="17"/>
  <c r="F127" i="17"/>
  <c r="C70" i="17"/>
  <c r="F50" i="17"/>
  <c r="D322" i="17"/>
  <c r="E141" i="17"/>
  <c r="F141" i="17"/>
  <c r="F210" i="17"/>
  <c r="C322" i="17"/>
  <c r="C211" i="17"/>
  <c r="F63" i="17"/>
  <c r="E304" i="17"/>
  <c r="F304" i="17"/>
  <c r="F209" i="17"/>
  <c r="F176" i="17"/>
  <c r="E211" i="17"/>
  <c r="D49" i="12"/>
  <c r="E49" i="12"/>
  <c r="E42" i="12"/>
  <c r="F42" i="12"/>
  <c r="C49" i="12"/>
  <c r="D99" i="8"/>
  <c r="D101" i="8"/>
  <c r="D98" i="8"/>
  <c r="D22" i="8"/>
  <c r="E43" i="5"/>
  <c r="F43" i="5"/>
  <c r="D50" i="5"/>
  <c r="C50" i="5"/>
  <c r="E129" i="18"/>
  <c r="D117" i="18"/>
  <c r="E264" i="18"/>
  <c r="D266" i="18"/>
  <c r="C131" i="18"/>
  <c r="C325" i="17"/>
  <c r="F211" i="17"/>
  <c r="E322" i="17"/>
  <c r="F322" i="17"/>
  <c r="F197" i="17"/>
  <c r="D325" i="17"/>
  <c r="E324" i="17"/>
  <c r="F324" i="17"/>
  <c r="E148" i="17"/>
  <c r="F148" i="17"/>
  <c r="F113" i="17"/>
  <c r="E183" i="17"/>
  <c r="F183" i="17"/>
  <c r="E323" i="17"/>
  <c r="F323" i="17"/>
  <c r="C309" i="17"/>
  <c r="E70" i="17"/>
  <c r="F70" i="17"/>
  <c r="D309" i="17"/>
  <c r="E305" i="17"/>
  <c r="F305" i="17"/>
  <c r="F49" i="12"/>
  <c r="F50" i="5"/>
  <c r="E50" i="5"/>
  <c r="E266" i="18"/>
  <c r="D267" i="18"/>
  <c r="E117" i="18"/>
  <c r="D131" i="18"/>
  <c r="E131" i="18"/>
  <c r="F309" i="17"/>
  <c r="C310" i="17"/>
  <c r="F325" i="17"/>
  <c r="E309" i="17"/>
  <c r="D310" i="17"/>
  <c r="E325" i="17"/>
  <c r="D269" i="18"/>
  <c r="E269" i="18"/>
  <c r="E267" i="18"/>
  <c r="D268" i="18"/>
  <c r="D312" i="17"/>
  <c r="E310" i="17"/>
  <c r="F310" i="17"/>
  <c r="C312" i="17"/>
  <c r="D271" i="18"/>
  <c r="E271" i="18"/>
  <c r="E268" i="18"/>
  <c r="E312" i="17"/>
  <c r="F312" i="17"/>
  <c r="D313" i="17"/>
  <c r="C313" i="17"/>
  <c r="F313" i="17"/>
  <c r="C314" i="17"/>
  <c r="C251" i="17"/>
  <c r="C256" i="17"/>
  <c r="C315" i="17"/>
  <c r="D315" i="17"/>
  <c r="D314" i="17"/>
  <c r="E313" i="17"/>
  <c r="D251" i="17"/>
  <c r="E251" i="17"/>
  <c r="D256" i="17"/>
  <c r="F251" i="17"/>
  <c r="E256" i="17"/>
  <c r="D257" i="17"/>
  <c r="E315" i="17"/>
  <c r="F315" i="17"/>
  <c r="C257" i="17"/>
  <c r="F256" i="17"/>
  <c r="C318" i="17"/>
  <c r="D318" i="17"/>
  <c r="E314" i="17"/>
  <c r="F314" i="17"/>
  <c r="F318" i="17"/>
  <c r="E318" i="17"/>
  <c r="F257" i="17"/>
  <c r="E257" i="17"/>
</calcChain>
</file>

<file path=xl/sharedStrings.xml><?xml version="1.0" encoding="utf-8"?>
<sst xmlns="http://schemas.openxmlformats.org/spreadsheetml/2006/main" count="2334" uniqueCount="1009">
  <si>
    <t>WILLIAM W. BACKUS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</si>
  <si>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</si>
  <si>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</si>
  <si>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</si>
  <si>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</si>
  <si>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</si>
  <si>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</si>
  <si>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</si>
  <si>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</si>
  <si>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</si>
  <si>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</si>
  <si>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</si>
  <si>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</si>
  <si>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</si>
  <si>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</si>
  <si>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</si>
  <si>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</si>
  <si>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</si>
  <si>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</si>
  <si>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</si>
  <si>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</si>
  <si>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</si>
  <si>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</si>
  <si>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</si>
  <si>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</si>
  <si>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</si>
  <si>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</si>
  <si>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</si>
  <si>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</si>
  <si>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</si>
  <si>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</si>
  <si>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</si>
  <si>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</si>
  <si>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</si>
  <si>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</si>
  <si>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</si>
  <si>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</si>
  <si>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</si>
  <si>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</si>
  <si>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</si>
  <si>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</si>
  <si>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</si>
  <si>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</si>
  <si>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</si>
  <si>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</si>
  <si>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</si>
  <si>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</si>
  <si>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</si>
  <si>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</si>
  <si>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</si>
  <si>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</si>
  <si>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</si>
  <si>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</si>
  <si>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</si>
  <si>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</si>
  <si>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</si>
  <si>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</si>
  <si>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</si>
  <si>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</si>
  <si>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</si>
  <si>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</si>
  <si>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</si>
  <si>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</si>
  <si>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</si>
  <si>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</si>
  <si>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</si>
  <si>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</si>
  <si>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</si>
  <si>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</si>
  <si>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</si>
  <si>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</si>
  <si>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</si>
  <si>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</si>
  <si>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</si>
  <si>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</si>
  <si>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</si>
  <si>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</si>
  <si>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</si>
  <si>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</si>
  <si>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</si>
  <si>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</si>
  <si>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</si>
  <si>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</si>
  <si>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</si>
  <si>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</si>
  <si>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</si>
  <si>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</si>
  <si>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</si>
  <si>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</si>
  <si>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</si>
  <si>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</si>
  <si>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</si>
  <si>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</si>
  <si>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</si>
  <si>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</si>
  <si>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</si>
  <si>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</si>
  <si>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</si>
  <si>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</si>
  <si>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</si>
  <si>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</si>
  <si>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</si>
  <si>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</si>
  <si>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</si>
  <si>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</si>
  <si>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</si>
  <si>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</si>
  <si>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</si>
  <si>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</si>
  <si>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</si>
  <si>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</si>
  <si>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</si>
  <si>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</si>
  <si>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</si>
  <si>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</si>
  <si>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</si>
  <si>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</si>
  <si>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</si>
  <si>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</si>
  <si>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</si>
  <si>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</si>
  <si>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</si>
  <si>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</si>
  <si>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</si>
  <si>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</si>
  <si>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</si>
  <si>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</si>
  <si>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</si>
  <si>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</si>
  <si>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</si>
  <si>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</si>
  <si>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</si>
  <si>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</si>
  <si>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</si>
  <si>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</si>
  <si>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</si>
  <si>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</si>
  <si>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</si>
  <si>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</si>
  <si>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</si>
  <si>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</si>
  <si>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</si>
  <si>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</si>
  <si>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</si>
  <si>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</si>
  <si>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</si>
  <si>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</si>
  <si>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</si>
  <si>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</si>
  <si>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</si>
  <si>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</si>
  <si>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</si>
  <si>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</si>
  <si>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</si>
  <si>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</si>
  <si>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</si>
  <si>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</si>
  <si>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</si>
  <si>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</si>
  <si>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</si>
  <si>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</si>
  <si>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</si>
  <si>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</si>
  <si>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</si>
  <si>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</si>
  <si>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</si>
  <si>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</si>
  <si>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</si>
  <si>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</si>
  <si>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</si>
  <si>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</si>
  <si>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</si>
  <si>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</si>
  <si>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</si>
  <si>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</si>
  <si>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</si>
  <si>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</si>
  <si>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</si>
  <si>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</si>
  <si>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</si>
  <si>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</si>
  <si>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</si>
  <si>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</si>
  <si>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</si>
  <si>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</si>
  <si>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</si>
  <si>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</si>
  <si>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</si>
  <si>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</si>
  <si>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</si>
  <si>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</si>
  <si>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</si>
  <si>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</si>
  <si>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</si>
  <si>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</si>
  <si>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</si>
  <si>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</si>
  <si>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</si>
  <si>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</si>
  <si>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</si>
  <si>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</si>
  <si>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</si>
  <si>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</si>
  <si>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</si>
  <si>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</si>
  <si>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</si>
  <si>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</si>
  <si>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</si>
  <si>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</si>
  <si>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</si>
  <si>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</si>
  <si>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</si>
  <si>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</si>
  <si>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</si>
  <si>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</si>
  <si>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</si>
  <si>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</si>
  <si>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</si>
  <si>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</si>
  <si>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</si>
  <si>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</si>
  <si>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</si>
  <si>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</si>
  <si>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</si>
  <si>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</si>
  <si>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</si>
  <si>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</si>
  <si>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</si>
  <si>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</si>
  <si>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</si>
  <si>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</si>
  <si>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</si>
  <si>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</si>
  <si>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</si>
  <si>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</si>
  <si>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</si>
  <si>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</si>
  <si>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</si>
  <si>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</si>
  <si>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</si>
  <si>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</si>
  <si>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</si>
  <si>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</si>
  <si>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</si>
  <si>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</si>
  <si>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</si>
  <si>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</si>
  <si>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</si>
  <si>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</si>
  <si>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</si>
  <si>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</si>
  <si>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</si>
  <si>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</si>
  <si>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</si>
  <si>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</si>
  <si>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</si>
  <si>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</si>
  <si>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</si>
  <si>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</si>
  <si>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</si>
  <si>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</si>
  <si>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</si>
  <si>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</si>
  <si>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</si>
  <si>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</si>
  <si>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</si>
  <si>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</si>
  <si>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</si>
  <si>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</si>
  <si>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</si>
  <si>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</si>
  <si>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</si>
  <si>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</si>
  <si>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</si>
  <si>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</si>
  <si>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</si>
  <si>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</si>
  <si>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</si>
  <si>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</si>
  <si>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</si>
  <si>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</si>
  <si>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</si>
  <si>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</si>
  <si>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</si>
  <si>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</si>
  <si>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</si>
  <si>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</si>
  <si>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</si>
  <si>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</si>
  <si>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</si>
  <si>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</si>
  <si>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</si>
  <si>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</si>
  <si>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</si>
  <si>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</si>
  <si>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</si>
  <si>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</si>
  <si>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</si>
  <si>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</si>
  <si>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</si>
  <si>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</si>
  <si>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</si>
  <si>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</si>
  <si>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</si>
  <si>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</si>
  <si>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</si>
  <si>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</si>
  <si>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</si>
  <si>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</si>
  <si>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</si>
  <si>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</si>
  <si>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</si>
  <si>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</si>
  <si>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</si>
  <si>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</si>
  <si>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</si>
  <si>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</si>
  <si>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</si>
  <si>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</si>
  <si>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</si>
  <si>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</si>
  <si>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</si>
  <si>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</si>
  <si>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</si>
  <si>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</si>
  <si>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</si>
  <si>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</si>
  <si>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</si>
  <si>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</si>
  <si>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</si>
  <si>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</si>
  <si>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</si>
  <si>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</si>
  <si>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</si>
  <si>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</si>
  <si>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</si>
  <si>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</si>
  <si>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</si>
  <si>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</si>
  <si>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</si>
  <si>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</si>
  <si>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</si>
  <si>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</si>
  <si>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</si>
  <si>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</si>
  <si>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</si>
  <si>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</si>
  <si>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</si>
  <si>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</si>
  <si>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</si>
  <si>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</si>
  <si>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</si>
  <si>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</si>
  <si>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</si>
  <si>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</si>
  <si>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</si>
  <si>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</si>
  <si>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</si>
  <si>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</si>
  <si>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</si>
  <si>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</si>
  <si>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</si>
  <si>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</si>
  <si>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</si>
  <si>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</si>
  <si>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</si>
  <si>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</si>
  <si>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</si>
  <si>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</si>
  <si>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</si>
  <si>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</si>
  <si>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</si>
  <si>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</si>
  <si>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</si>
  <si>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</si>
  <si>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</si>
  <si>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</si>
  <si>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</si>
  <si>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</si>
  <si>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</si>
  <si>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</si>
  <si>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</si>
  <si>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</si>
  <si>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</si>
  <si>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</si>
  <si>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</si>
  <si>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</si>
  <si>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</si>
  <si>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</si>
  <si>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</si>
  <si>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</si>
  <si>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</si>
  <si>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</si>
  <si>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</si>
  <si>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</si>
  <si>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</si>
  <si>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</si>
  <si>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</si>
  <si>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</si>
  <si>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</si>
  <si>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</si>
  <si>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</si>
  <si>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</si>
  <si>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</si>
  <si>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</si>
  <si>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</si>
  <si>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</si>
  <si>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</si>
  <si>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</si>
  <si>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</si>
  <si>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</si>
  <si>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</si>
  <si>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</si>
  <si>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</si>
  <si>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</si>
  <si>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</si>
  <si>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</si>
  <si>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</si>
  <si>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</si>
  <si>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</si>
  <si>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</si>
  <si>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</si>
  <si>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</si>
  <si>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</si>
  <si>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</si>
  <si>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</si>
  <si>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</si>
  <si>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</si>
  <si>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</si>
  <si>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</si>
  <si>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</si>
  <si>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</si>
  <si>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</si>
  <si>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</si>
  <si>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</si>
  <si>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</si>
  <si>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</si>
  <si>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</si>
  <si>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</si>
  <si>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</si>
  <si>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</si>
  <si>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</si>
  <si>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</si>
  <si>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</si>
  <si>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</si>
  <si>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</si>
  <si>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</si>
  <si>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</si>
  <si>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</si>
  <si>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</si>
  <si>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</si>
  <si>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</si>
  <si>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</si>
  <si>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</si>
  <si>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</si>
  <si>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</si>
  <si>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</si>
  <si>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</si>
  <si>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</si>
  <si>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</si>
  <si>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</si>
  <si>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</si>
  <si>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</si>
  <si>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</si>
  <si>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</si>
  <si>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</si>
  <si>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</si>
  <si>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</si>
  <si>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</si>
  <si>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</si>
  <si>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</si>
  <si>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</si>
  <si>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</si>
  <si>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</si>
  <si>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</si>
  <si>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</si>
  <si>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</si>
  <si>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</si>
  <si>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</si>
  <si>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</si>
  <si>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</si>
  <si>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</si>
  <si>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</si>
  <si>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</si>
  <si>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</si>
  <si>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</si>
  <si>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</si>
  <si>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</si>
  <si>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</si>
  <si>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</si>
  <si>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</si>
  <si>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</si>
  <si>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</si>
  <si>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</si>
  <si>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</si>
  <si>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</si>
  <si>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</si>
  <si>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</si>
  <si>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</si>
  <si>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</si>
  <si>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BACKUS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</si>
  <si>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</si>
  <si>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</si>
  <si>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</si>
  <si>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</si>
  <si>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</si>
  <si>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</si>
  <si>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</si>
  <si>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</si>
  <si>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</si>
  <si>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</si>
  <si>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</si>
  <si>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</si>
  <si>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</si>
  <si>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</si>
  <si>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</si>
  <si>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</si>
  <si>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</si>
  <si>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</si>
  <si>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</si>
  <si>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</si>
  <si>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</si>
  <si>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</si>
  <si>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</si>
  <si>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</si>
  <si>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</si>
  <si>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</si>
  <si>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</si>
  <si>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</si>
  <si>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</si>
  <si>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</si>
  <si>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</si>
  <si>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</si>
  <si>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</si>
  <si>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</si>
  <si>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</si>
  <si>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</si>
  <si>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</si>
  <si>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</si>
  <si>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</si>
  <si>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</si>
  <si>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</si>
  <si>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</si>
  <si>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</si>
  <si>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</si>
  <si>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</si>
  <si>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</si>
  <si>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</si>
  <si>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</si>
  <si>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</si>
  <si>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</si>
  <si>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</si>
  <si>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</si>
  <si>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</si>
  <si>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</si>
  <si>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</si>
  <si>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</si>
  <si>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</si>
  <si>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</si>
  <si>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</si>
  <si>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</si>
  <si>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</si>
  <si>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</si>
  <si>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</si>
  <si>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</si>
  <si>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</si>
  <si>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</si>
  <si>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</si>
  <si>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</si>
  <si>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</si>
  <si>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</si>
  <si>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</si>
  <si>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</si>
  <si>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</si>
  <si>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</si>
  <si>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</si>
  <si>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</si>
  <si>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</si>
  <si>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</si>
  <si>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</si>
  <si>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</si>
  <si>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</si>
  <si>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</si>
  <si>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</si>
  <si>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</si>
  <si>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</si>
  <si>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</si>
  <si>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</si>
  <si>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</si>
  <si>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</si>
  <si>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</si>
  <si>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</si>
  <si>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</si>
  <si>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</si>
  <si>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</si>
  <si>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</si>
  <si>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</si>
  <si>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</si>
  <si>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</si>
  <si>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</si>
  <si>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</si>
  <si>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</si>
  <si>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</si>
  <si>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</si>
  <si>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</si>
  <si>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</si>
  <si>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</si>
  <si>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</si>
  <si>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</si>
  <si>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</si>
  <si>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</si>
  <si>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</si>
  <si>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</si>
  <si>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</si>
  <si>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</si>
  <si>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</si>
  <si>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</si>
  <si>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</si>
  <si>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</si>
  <si>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</si>
  <si>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</si>
  <si>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BACKUS HOSPITAL</t>
  </si>
  <si>
    <t>Total Outpatient Surgical Procedures(A)</t>
  </si>
  <si>
    <t>Total Outpatient Endoscopy Procedures(B)</t>
  </si>
  <si>
    <t>Outpatient Hospital Emergency Room Visits</t>
  </si>
  <si>
    <t>BACKUS PLAINFIELD EMERGENCY DPT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</si>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</sst>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132347698</v>
      </c>
      <c r="D13" s="22">
        <v>187018905</v>
      </c>
      <c r="E13" s="22">
        <f t="shared" ref="E13:E22" si="0">D13-C13</f>
        <v>54671207</v>
      </c>
      <c r="F13" s="23">
        <f t="shared" ref="F13:F22" si="1">IF(C13=0,0,E13/C13)</f>
        <v>0.41308770629316122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31013657</v>
      </c>
      <c r="D15" s="22">
        <v>36980052</v>
      </c>
      <c r="E15" s="22">
        <f t="shared" si="0"/>
        <v>5966395</v>
      </c>
      <c r="F15" s="23">
        <f t="shared" si="1"/>
        <v>0.19237960231519941</v>
      </c>
    </row>
    <row r="16" spans="1:8" ht="24" customHeight="1" x14ac:dyDescent="0.2">
      <c r="A16" s="20">
        <v>4</v>
      </c>
      <c r="B16" s="21" t="s">
        <v>19</v>
      </c>
      <c r="C16" s="22">
        <v>6509778</v>
      </c>
      <c r="D16" s="22">
        <v>3285815</v>
      </c>
      <c r="E16" s="22">
        <f t="shared" si="0"/>
        <v>-3223963</v>
      </c>
      <c r="F16" s="23">
        <f t="shared" si="1"/>
        <v>-0.4952493003601659</v>
      </c>
    </row>
    <row r="17" spans="1:11" ht="24" customHeight="1" x14ac:dyDescent="0.2">
      <c r="A17" s="20">
        <v>5</v>
      </c>
      <c r="B17" s="21" t="s">
        <v>20</v>
      </c>
      <c r="C17" s="22">
        <v>218071</v>
      </c>
      <c r="D17" s="22">
        <v>2037361</v>
      </c>
      <c r="E17" s="22">
        <f t="shared" si="0"/>
        <v>1819290</v>
      </c>
      <c r="F17" s="23">
        <f t="shared" si="1"/>
        <v>8.3426498709136023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3715171</v>
      </c>
      <c r="D19" s="22">
        <v>3771462</v>
      </c>
      <c r="E19" s="22">
        <f t="shared" si="0"/>
        <v>56291</v>
      </c>
      <c r="F19" s="23">
        <f t="shared" si="1"/>
        <v>1.5151657891386425E-2</v>
      </c>
    </row>
    <row r="20" spans="1:11" ht="24" customHeight="1" x14ac:dyDescent="0.2">
      <c r="A20" s="20">
        <v>8</v>
      </c>
      <c r="B20" s="21" t="s">
        <v>23</v>
      </c>
      <c r="C20" s="22">
        <v>2941851</v>
      </c>
      <c r="D20" s="22">
        <v>1643561</v>
      </c>
      <c r="E20" s="22">
        <f t="shared" si="0"/>
        <v>-1298290</v>
      </c>
      <c r="F20" s="23">
        <f t="shared" si="1"/>
        <v>-0.44131738827017414</v>
      </c>
    </row>
    <row r="21" spans="1:11" ht="24" customHeight="1" x14ac:dyDescent="0.2">
      <c r="A21" s="20">
        <v>9</v>
      </c>
      <c r="B21" s="21" t="s">
        <v>24</v>
      </c>
      <c r="C21" s="22">
        <v>29416</v>
      </c>
      <c r="D21" s="22">
        <v>1317632</v>
      </c>
      <c r="E21" s="22">
        <f t="shared" si="0"/>
        <v>1288216</v>
      </c>
      <c r="F21" s="23">
        <f t="shared" si="1"/>
        <v>43.793037802556434</v>
      </c>
    </row>
    <row r="22" spans="1:11" ht="24" customHeight="1" x14ac:dyDescent="0.25">
      <c r="A22" s="24"/>
      <c r="B22" s="25" t="s">
        <v>25</v>
      </c>
      <c r="C22" s="26">
        <f>SUM(C13:C21)</f>
        <v>176775642</v>
      </c>
      <c r="D22" s="26">
        <f>SUM(D13:D21)</f>
        <v>236054788</v>
      </c>
      <c r="E22" s="26">
        <f t="shared" si="0"/>
        <v>59279146</v>
      </c>
      <c r="F22" s="27">
        <f t="shared" si="1"/>
        <v>0.33533548700108806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31846910</v>
      </c>
      <c r="D25" s="22">
        <v>29273515</v>
      </c>
      <c r="E25" s="22">
        <f>D25-C25</f>
        <v>-2573395</v>
      </c>
      <c r="F25" s="23">
        <f>IF(C25=0,0,E25/C25)</f>
        <v>-8.0805170737129603E-2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120134546</v>
      </c>
      <c r="D26" s="22">
        <v>113055613</v>
      </c>
      <c r="E26" s="22">
        <f>D26-C26</f>
        <v>-7078933</v>
      </c>
      <c r="F26" s="23">
        <f>IF(C26=0,0,E26/C26)</f>
        <v>-5.8925040595733384E-2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151981456</v>
      </c>
      <c r="D29" s="26">
        <f>SUM(D25:D28)</f>
        <v>142329128</v>
      </c>
      <c r="E29" s="26">
        <f>D29-C29</f>
        <v>-9652328</v>
      </c>
      <c r="F29" s="27">
        <f>IF(C29=0,0,E29/C29)</f>
        <v>-6.3509906103281444E-2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9206465</v>
      </c>
      <c r="D33" s="22">
        <v>7214261</v>
      </c>
      <c r="E33" s="22">
        <f>D33-C33</f>
        <v>-1992204</v>
      </c>
      <c r="F33" s="23">
        <f>IF(C33=0,0,E33/C33)</f>
        <v>-0.21639185072663611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299604952</v>
      </c>
      <c r="D36" s="22">
        <v>302912199</v>
      </c>
      <c r="E36" s="22">
        <f>D36-C36</f>
        <v>3307247</v>
      </c>
      <c r="F36" s="23">
        <f>IF(C36=0,0,E36/C36)</f>
        <v>1.1038692711594434E-2</v>
      </c>
    </row>
    <row r="37" spans="1:8" ht="24" customHeight="1" x14ac:dyDescent="0.2">
      <c r="A37" s="20">
        <v>2</v>
      </c>
      <c r="B37" s="21" t="s">
        <v>39</v>
      </c>
      <c r="C37" s="22">
        <v>160938198</v>
      </c>
      <c r="D37" s="22">
        <v>175263190</v>
      </c>
      <c r="E37" s="22">
        <f>D37-C37</f>
        <v>14324992</v>
      </c>
      <c r="F37" s="23">
        <f>IF(C37=0,0,E37/C37)</f>
        <v>8.9009272988131757E-2</v>
      </c>
    </row>
    <row r="38" spans="1:8" ht="24" customHeight="1" x14ac:dyDescent="0.25">
      <c r="A38" s="24"/>
      <c r="B38" s="25" t="s">
        <v>40</v>
      </c>
      <c r="C38" s="26">
        <f>C36-C37</f>
        <v>138666754</v>
      </c>
      <c r="D38" s="26">
        <f>D36-D37</f>
        <v>127649009</v>
      </c>
      <c r="E38" s="26">
        <f>D38-C38</f>
        <v>-11017745</v>
      </c>
      <c r="F38" s="27">
        <f>IF(C38=0,0,E38/C38)</f>
        <v>-7.9454841785652527E-2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77152</v>
      </c>
      <c r="D40" s="22">
        <v>185693</v>
      </c>
      <c r="E40" s="22">
        <f>D40-C40</f>
        <v>108541</v>
      </c>
      <c r="F40" s="23">
        <f>IF(C40=0,0,E40/C40)</f>
        <v>1.4068462256325176</v>
      </c>
    </row>
    <row r="41" spans="1:8" ht="24" customHeight="1" x14ac:dyDescent="0.25">
      <c r="A41" s="24"/>
      <c r="B41" s="25" t="s">
        <v>42</v>
      </c>
      <c r="C41" s="26">
        <f>+C38+C40</f>
        <v>138743906</v>
      </c>
      <c r="D41" s="26">
        <f>+D38+D40</f>
        <v>127834702</v>
      </c>
      <c r="E41" s="26">
        <f>D41-C41</f>
        <v>-10909204</v>
      </c>
      <c r="F41" s="27">
        <f>IF(C41=0,0,E41/C41)</f>
        <v>-7.8628347107367727E-2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476707469</v>
      </c>
      <c r="D43" s="26">
        <f>D22+D29+D31+D32+D33+D41</f>
        <v>513432879</v>
      </c>
      <c r="E43" s="26">
        <f>D43-C43</f>
        <v>36725410</v>
      </c>
      <c r="F43" s="27">
        <f>IF(C43=0,0,E43/C43)</f>
        <v>7.7039720139144702E-2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8015358</v>
      </c>
      <c r="D49" s="22">
        <v>8403938</v>
      </c>
      <c r="E49" s="22">
        <f t="shared" ref="E49:E56" si="2">D49-C49</f>
        <v>388580</v>
      </c>
      <c r="F49" s="23">
        <f t="shared" ref="F49:F56" si="3">IF(C49=0,0,E49/C49)</f>
        <v>4.847943161116447E-2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6965186</v>
      </c>
      <c r="D50" s="22">
        <v>7611745</v>
      </c>
      <c r="E50" s="22">
        <f t="shared" si="2"/>
        <v>646559</v>
      </c>
      <c r="F50" s="23">
        <f t="shared" si="3"/>
        <v>9.2827241081573419E-2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1828257</v>
      </c>
      <c r="D51" s="22">
        <v>8036715</v>
      </c>
      <c r="E51" s="22">
        <f t="shared" si="2"/>
        <v>6208458</v>
      </c>
      <c r="F51" s="23">
        <f t="shared" si="3"/>
        <v>3.3958343930858734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2841766</v>
      </c>
      <c r="E52" s="22">
        <f t="shared" si="2"/>
        <v>2841766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2120000</v>
      </c>
      <c r="D53" s="22">
        <v>0</v>
      </c>
      <c r="E53" s="22">
        <f t="shared" si="2"/>
        <v>-2120000</v>
      </c>
      <c r="F53" s="23">
        <f t="shared" si="3"/>
        <v>-1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323472</v>
      </c>
      <c r="D54" s="22">
        <v>399818</v>
      </c>
      <c r="E54" s="22">
        <f t="shared" si="2"/>
        <v>76346</v>
      </c>
      <c r="F54" s="23">
        <f t="shared" si="3"/>
        <v>0.23602042835237672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9872877</v>
      </c>
      <c r="D55" s="22">
        <v>11815087</v>
      </c>
      <c r="E55" s="22">
        <f t="shared" si="2"/>
        <v>1942210</v>
      </c>
      <c r="F55" s="23">
        <f t="shared" si="3"/>
        <v>0.19672178636480531</v>
      </c>
    </row>
    <row r="56" spans="1:6" ht="24" customHeight="1" x14ac:dyDescent="0.25">
      <c r="A56" s="24"/>
      <c r="B56" s="25" t="s">
        <v>54</v>
      </c>
      <c r="C56" s="26">
        <f>SUM(C49:C55)</f>
        <v>29125150</v>
      </c>
      <c r="D56" s="26">
        <f>SUM(D49:D55)</f>
        <v>39109069</v>
      </c>
      <c r="E56" s="26">
        <f t="shared" si="2"/>
        <v>9983919</v>
      </c>
      <c r="F56" s="27">
        <f t="shared" si="3"/>
        <v>0.34279373668461793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59885476</v>
      </c>
      <c r="D59" s="22">
        <v>58784343</v>
      </c>
      <c r="E59" s="22">
        <f>D59-C59</f>
        <v>-1101133</v>
      </c>
      <c r="F59" s="23">
        <f>IF(C59=0,0,E59/C59)</f>
        <v>-1.8387313144175393E-2</v>
      </c>
    </row>
    <row r="60" spans="1:6" ht="24" customHeight="1" x14ac:dyDescent="0.2">
      <c r="A60" s="20">
        <v>2</v>
      </c>
      <c r="B60" s="21" t="s">
        <v>57</v>
      </c>
      <c r="C60" s="22">
        <v>7308056</v>
      </c>
      <c r="D60" s="22">
        <v>9415367</v>
      </c>
      <c r="E60" s="22">
        <f>D60-C60</f>
        <v>2107311</v>
      </c>
      <c r="F60" s="23">
        <f>IF(C60=0,0,E60/C60)</f>
        <v>0.28835452273491063</v>
      </c>
    </row>
    <row r="61" spans="1:6" ht="24" customHeight="1" x14ac:dyDescent="0.25">
      <c r="A61" s="24"/>
      <c r="B61" s="25" t="s">
        <v>58</v>
      </c>
      <c r="C61" s="26">
        <f>SUM(C59:C60)</f>
        <v>67193532</v>
      </c>
      <c r="D61" s="26">
        <f>SUM(D59:D60)</f>
        <v>68199710</v>
      </c>
      <c r="E61" s="26">
        <f>D61-C61</f>
        <v>1006178</v>
      </c>
      <c r="F61" s="27">
        <f>IF(C61=0,0,E61/C61)</f>
        <v>1.4974328183849601E-2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18267625</v>
      </c>
      <c r="D63" s="22">
        <v>38600633</v>
      </c>
      <c r="E63" s="22">
        <f>D63-C63</f>
        <v>20333008</v>
      </c>
      <c r="F63" s="23">
        <f>IF(C63=0,0,E63/C63)</f>
        <v>1.1130624807548875</v>
      </c>
    </row>
    <row r="64" spans="1:6" ht="24" customHeight="1" x14ac:dyDescent="0.2">
      <c r="A64" s="20">
        <v>4</v>
      </c>
      <c r="B64" s="21" t="s">
        <v>60</v>
      </c>
      <c r="C64" s="22">
        <v>36648224</v>
      </c>
      <c r="D64" s="22">
        <v>13059973</v>
      </c>
      <c r="E64" s="22">
        <f>D64-C64</f>
        <v>-23588251</v>
      </c>
      <c r="F64" s="23">
        <f>IF(C64=0,0,E64/C64)</f>
        <v>-0.64363967541783196</v>
      </c>
    </row>
    <row r="65" spans="1:6" ht="24" customHeight="1" x14ac:dyDescent="0.25">
      <c r="A65" s="24"/>
      <c r="B65" s="25" t="s">
        <v>61</v>
      </c>
      <c r="C65" s="26">
        <f>SUM(C61:C64)</f>
        <v>122109381</v>
      </c>
      <c r="D65" s="26">
        <f>SUM(D61:D64)</f>
        <v>119860316</v>
      </c>
      <c r="E65" s="26">
        <f>D65-C65</f>
        <v>-2249065</v>
      </c>
      <c r="F65" s="27">
        <f>IF(C65=0,0,E65/C65)</f>
        <v>-1.8418445672081493E-2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314099880</v>
      </c>
      <c r="D70" s="22">
        <v>342576048</v>
      </c>
      <c r="E70" s="22">
        <f>D70-C70</f>
        <v>28476168</v>
      </c>
      <c r="F70" s="23">
        <f>IF(C70=0,0,E70/C70)</f>
        <v>9.0659595285423222E-2</v>
      </c>
    </row>
    <row r="71" spans="1:6" ht="24" customHeight="1" x14ac:dyDescent="0.2">
      <c r="A71" s="20">
        <v>2</v>
      </c>
      <c r="B71" s="21" t="s">
        <v>65</v>
      </c>
      <c r="C71" s="22">
        <v>3305592</v>
      </c>
      <c r="D71" s="22">
        <v>3534497</v>
      </c>
      <c r="E71" s="22">
        <f>D71-C71</f>
        <v>228905</v>
      </c>
      <c r="F71" s="23">
        <f>IF(C71=0,0,E71/C71)</f>
        <v>6.9247807956940841E-2</v>
      </c>
    </row>
    <row r="72" spans="1:6" ht="24" customHeight="1" x14ac:dyDescent="0.2">
      <c r="A72" s="20">
        <v>3</v>
      </c>
      <c r="B72" s="21" t="s">
        <v>66</v>
      </c>
      <c r="C72" s="22">
        <v>8067466</v>
      </c>
      <c r="D72" s="22">
        <v>8352949</v>
      </c>
      <c r="E72" s="22">
        <f>D72-C72</f>
        <v>285483</v>
      </c>
      <c r="F72" s="23">
        <f>IF(C72=0,0,E72/C72)</f>
        <v>3.5386948020605234E-2</v>
      </c>
    </row>
    <row r="73" spans="1:6" ht="24" customHeight="1" x14ac:dyDescent="0.25">
      <c r="A73" s="20"/>
      <c r="B73" s="25" t="s">
        <v>67</v>
      </c>
      <c r="C73" s="26">
        <f>SUM(C70:C72)</f>
        <v>325472938</v>
      </c>
      <c r="D73" s="26">
        <f>SUM(D70:D72)</f>
        <v>354463494</v>
      </c>
      <c r="E73" s="26">
        <f>D73-C73</f>
        <v>28990556</v>
      </c>
      <c r="F73" s="27">
        <f>IF(C73=0,0,E73/C73)</f>
        <v>8.9072093606750183E-2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476707469</v>
      </c>
      <c r="D75" s="26">
        <f>D56+D65+D67+D73</f>
        <v>513432879</v>
      </c>
      <c r="E75" s="26">
        <f>D75-C75</f>
        <v>36725410</v>
      </c>
      <c r="F75" s="27">
        <f>IF(C75=0,0,E75/C75)</f>
        <v>7.7039720139144702E-2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297604077</v>
      </c>
      <c r="D11" s="76">
        <v>283823086</v>
      </c>
      <c r="E11" s="76">
        <v>309278921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7456820</v>
      </c>
      <c r="D12" s="185">
        <v>7178445</v>
      </c>
      <c r="E12" s="185">
        <v>9066949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305060897</v>
      </c>
      <c r="D13" s="76">
        <f>+D11+D12</f>
        <v>291001531</v>
      </c>
      <c r="E13" s="76">
        <f>+E11+E12</f>
        <v>318345870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281434152</v>
      </c>
      <c r="D14" s="185">
        <v>267959722</v>
      </c>
      <c r="E14" s="185">
        <v>273896036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23626745</v>
      </c>
      <c r="D15" s="76">
        <f>+D13-D14</f>
        <v>23041809</v>
      </c>
      <c r="E15" s="76">
        <f>+E13-E14</f>
        <v>44449834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14102638</v>
      </c>
      <c r="D16" s="185">
        <v>11496207</v>
      </c>
      <c r="E16" s="185">
        <v>11211547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37729383</v>
      </c>
      <c r="D17" s="76">
        <f>D15+D16</f>
        <v>34538016</v>
      </c>
      <c r="E17" s="76">
        <f>E15+E16</f>
        <v>55661381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7.4027081445880091E-2</v>
      </c>
      <c r="D20" s="189">
        <f>IF(+D27=0,0,+D24/+D27)</f>
        <v>7.6171839010577988E-2</v>
      </c>
      <c r="E20" s="189">
        <f>IF(+E27=0,0,+E24/+E27)</f>
        <v>0.13487735886702862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4.4186244521950163E-2</v>
      </c>
      <c r="D21" s="189">
        <f>IF(+D27=0,0,+D26/+D27)</f>
        <v>3.8004274266672369E-2</v>
      </c>
      <c r="E21" s="189">
        <f>IF(+E27=0,0,+E26/+E27)</f>
        <v>3.4020011147253289E-2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0.11821332596783025</v>
      </c>
      <c r="D22" s="189">
        <f>IF(+D27=0,0,+D28/+D27)</f>
        <v>0.11417611327725036</v>
      </c>
      <c r="E22" s="189">
        <f>IF(+E27=0,0,+E28/+E27)</f>
        <v>0.1688973700142819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23626745</v>
      </c>
      <c r="D24" s="76">
        <f>+D15</f>
        <v>23041809</v>
      </c>
      <c r="E24" s="76">
        <f>+E15</f>
        <v>44449834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305060897</v>
      </c>
      <c r="D25" s="76">
        <f>+D13</f>
        <v>291001531</v>
      </c>
      <c r="E25" s="76">
        <f>+E13</f>
        <v>318345870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14102638</v>
      </c>
      <c r="D26" s="76">
        <f>+D16</f>
        <v>11496207</v>
      </c>
      <c r="E26" s="76">
        <f>+E16</f>
        <v>11211547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319163535</v>
      </c>
      <c r="D27" s="76">
        <f>SUM(D25:D26)</f>
        <v>302497738</v>
      </c>
      <c r="E27" s="76">
        <f>SUM(E25:E26)</f>
        <v>329557417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37729383</v>
      </c>
      <c r="D28" s="76">
        <f>+D17</f>
        <v>34538016</v>
      </c>
      <c r="E28" s="76">
        <f>+E17</f>
        <v>55661381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187377643</v>
      </c>
      <c r="D31" s="76">
        <v>315932503</v>
      </c>
      <c r="E31" s="76">
        <v>344915268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198024302</v>
      </c>
      <c r="D32" s="76">
        <v>327305561</v>
      </c>
      <c r="E32" s="76">
        <v>356802714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35261688</v>
      </c>
      <c r="D33" s="76">
        <f>+D32-C32</f>
        <v>129281259</v>
      </c>
      <c r="E33" s="76">
        <f>+E32-D32</f>
        <v>29497153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1.2165999999999999</v>
      </c>
      <c r="D34" s="193">
        <f>IF(C32=0,0,+D33/C32)</f>
        <v>0.65285552174298289</v>
      </c>
      <c r="E34" s="193">
        <f>IF(D32=0,0,+E33/D32)</f>
        <v>9.0121148292986078E-2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4.7372133507242831</v>
      </c>
      <c r="D38" s="338">
        <f>IF(+D40=0,0,+D39/+D40)</f>
        <v>5.7538196243769875</v>
      </c>
      <c r="E38" s="338">
        <f>IF(+E40=0,0,+E39/+E40)</f>
        <v>5.7846249415445152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156391235</v>
      </c>
      <c r="D39" s="341">
        <v>180240684</v>
      </c>
      <c r="E39" s="341">
        <v>238871708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33013340</v>
      </c>
      <c r="D40" s="341">
        <v>31325397</v>
      </c>
      <c r="E40" s="341">
        <v>41294243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150.130772045425</v>
      </c>
      <c r="D42" s="343">
        <f>IF((D48/365)=0,0,+D45/(D48/365))</f>
        <v>194.6287849215293</v>
      </c>
      <c r="E42" s="343">
        <f>IF((E48/365)=0,0,+E45/(E48/365))</f>
        <v>265.6662588689486</v>
      </c>
    </row>
    <row r="43" spans="1:14" ht="24" customHeight="1" x14ac:dyDescent="0.2">
      <c r="A43" s="339">
        <v>5</v>
      </c>
      <c r="B43" s="344" t="s">
        <v>16</v>
      </c>
      <c r="C43" s="345">
        <v>108322462</v>
      </c>
      <c r="D43" s="345">
        <v>134555183</v>
      </c>
      <c r="E43" s="345">
        <v>187885111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108322462</v>
      </c>
      <c r="D45" s="341">
        <f>+D43+D44</f>
        <v>134555183</v>
      </c>
      <c r="E45" s="341">
        <f>+E43+E44</f>
        <v>187885111</v>
      </c>
    </row>
    <row r="46" spans="1:14" ht="24" customHeight="1" x14ac:dyDescent="0.2">
      <c r="A46" s="339">
        <v>8</v>
      </c>
      <c r="B46" s="340" t="s">
        <v>334</v>
      </c>
      <c r="C46" s="341">
        <f>+C14</f>
        <v>281434152</v>
      </c>
      <c r="D46" s="341">
        <f>+D14</f>
        <v>267959722</v>
      </c>
      <c r="E46" s="341">
        <f>+E14</f>
        <v>273896036</v>
      </c>
    </row>
    <row r="47" spans="1:14" ht="24" customHeight="1" x14ac:dyDescent="0.2">
      <c r="A47" s="339">
        <v>9</v>
      </c>
      <c r="B47" s="340" t="s">
        <v>356</v>
      </c>
      <c r="C47" s="341">
        <v>18079091</v>
      </c>
      <c r="D47" s="341">
        <v>15619649</v>
      </c>
      <c r="E47" s="341">
        <v>15759885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263355061</v>
      </c>
      <c r="D48" s="341">
        <f>+D46-D47</f>
        <v>252340073</v>
      </c>
      <c r="E48" s="341">
        <f>+E46-E47</f>
        <v>258136151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39.496695167922717</v>
      </c>
      <c r="D50" s="350">
        <f>IF((D55/365)=0,0,+D54/(D55/365))</f>
        <v>38.992093159046263</v>
      </c>
      <c r="E50" s="350">
        <f>IF((E55/365)=0,0,+E54/(E55/365))</f>
        <v>35.279415938598675</v>
      </c>
    </row>
    <row r="51" spans="1:5" ht="24" customHeight="1" x14ac:dyDescent="0.2">
      <c r="A51" s="339">
        <v>12</v>
      </c>
      <c r="B51" s="344" t="s">
        <v>359</v>
      </c>
      <c r="C51" s="351">
        <v>33684894</v>
      </c>
      <c r="D51" s="351">
        <v>32394182</v>
      </c>
      <c r="E51" s="351">
        <v>38557357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1481120</v>
      </c>
      <c r="D53" s="341">
        <v>2074028</v>
      </c>
      <c r="E53" s="341">
        <v>8663714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32203774</v>
      </c>
      <c r="D54" s="352">
        <f>+D51+D52-D53</f>
        <v>30320154</v>
      </c>
      <c r="E54" s="352">
        <f>+E51+E52-E53</f>
        <v>29893643</v>
      </c>
    </row>
    <row r="55" spans="1:5" ht="24" customHeight="1" x14ac:dyDescent="0.2">
      <c r="A55" s="339">
        <v>16</v>
      </c>
      <c r="B55" s="340" t="s">
        <v>75</v>
      </c>
      <c r="C55" s="341">
        <f>+C11</f>
        <v>297604077</v>
      </c>
      <c r="D55" s="341">
        <f>+D11</f>
        <v>283823086</v>
      </c>
      <c r="E55" s="341">
        <f>+E11</f>
        <v>309278921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45.755221313176129</v>
      </c>
      <c r="D57" s="355">
        <f>IF((D61/365)=0,0,+D58/(D61/365))</f>
        <v>45.310955842514957</v>
      </c>
      <c r="E57" s="355">
        <f>IF((E61/365)=0,0,+E58/(E61/365))</f>
        <v>58.389336931734142</v>
      </c>
    </row>
    <row r="58" spans="1:5" ht="24" customHeight="1" x14ac:dyDescent="0.2">
      <c r="A58" s="339">
        <v>18</v>
      </c>
      <c r="B58" s="340" t="s">
        <v>54</v>
      </c>
      <c r="C58" s="353">
        <f>+C40</f>
        <v>33013340</v>
      </c>
      <c r="D58" s="353">
        <f>+D40</f>
        <v>31325397</v>
      </c>
      <c r="E58" s="353">
        <f>+E40</f>
        <v>41294243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281434152</v>
      </c>
      <c r="D59" s="353">
        <f t="shared" si="0"/>
        <v>267959722</v>
      </c>
      <c r="E59" s="353">
        <f t="shared" si="0"/>
        <v>273896036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18079091</v>
      </c>
      <c r="D60" s="356">
        <f t="shared" si="0"/>
        <v>15619649</v>
      </c>
      <c r="E60" s="356">
        <f t="shared" si="0"/>
        <v>15759885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263355061</v>
      </c>
      <c r="D61" s="353">
        <f>+D59-D60</f>
        <v>252340073</v>
      </c>
      <c r="E61" s="353">
        <f>+E59-E60</f>
        <v>258136151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49.978185811026812</v>
      </c>
      <c r="D65" s="357">
        <f>IF(D67=0,0,(D66/D67)*100)</f>
        <v>67.991968542069486</v>
      </c>
      <c r="E65" s="357">
        <f>IF(E67=0,0,(E66/E67)*100)</f>
        <v>68.844193088386547</v>
      </c>
    </row>
    <row r="66" spans="1:5" ht="24" customHeight="1" x14ac:dyDescent="0.2">
      <c r="A66" s="339">
        <v>2</v>
      </c>
      <c r="B66" s="340" t="s">
        <v>67</v>
      </c>
      <c r="C66" s="353">
        <f>+C32</f>
        <v>198024302</v>
      </c>
      <c r="D66" s="353">
        <f>+D32</f>
        <v>327305561</v>
      </c>
      <c r="E66" s="353">
        <f>+E32</f>
        <v>356802714</v>
      </c>
    </row>
    <row r="67" spans="1:5" ht="24" customHeight="1" x14ac:dyDescent="0.2">
      <c r="A67" s="339">
        <v>3</v>
      </c>
      <c r="B67" s="340" t="s">
        <v>43</v>
      </c>
      <c r="C67" s="353">
        <v>396221469</v>
      </c>
      <c r="D67" s="353">
        <v>481388564</v>
      </c>
      <c r="E67" s="353">
        <v>518275686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56.906583265295431</v>
      </c>
      <c r="D69" s="357">
        <f>IF(D75=0,0,(D72/D75)*100)</f>
        <v>50.911703475785849</v>
      </c>
      <c r="E69" s="357">
        <f>IF(E75=0,0,(E72/E75)*100)</f>
        <v>65.228502618770193</v>
      </c>
    </row>
    <row r="70" spans="1:5" ht="24" customHeight="1" x14ac:dyDescent="0.2">
      <c r="A70" s="339">
        <v>5</v>
      </c>
      <c r="B70" s="340" t="s">
        <v>366</v>
      </c>
      <c r="C70" s="353">
        <f>+C28</f>
        <v>37729383</v>
      </c>
      <c r="D70" s="353">
        <f>+D28</f>
        <v>34538016</v>
      </c>
      <c r="E70" s="353">
        <f>+E28</f>
        <v>55661381</v>
      </c>
    </row>
    <row r="71" spans="1:5" ht="24" customHeight="1" x14ac:dyDescent="0.2">
      <c r="A71" s="339">
        <v>6</v>
      </c>
      <c r="B71" s="340" t="s">
        <v>356</v>
      </c>
      <c r="C71" s="356">
        <f>+C47</f>
        <v>18079091</v>
      </c>
      <c r="D71" s="356">
        <f>+D47</f>
        <v>15619649</v>
      </c>
      <c r="E71" s="356">
        <f>+E47</f>
        <v>15759885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55808474</v>
      </c>
      <c r="D72" s="353">
        <f>+D70+D71</f>
        <v>50157665</v>
      </c>
      <c r="E72" s="353">
        <f>+E70+E71</f>
        <v>71421266</v>
      </c>
    </row>
    <row r="73" spans="1:5" ht="24" customHeight="1" x14ac:dyDescent="0.2">
      <c r="A73" s="339">
        <v>8</v>
      </c>
      <c r="B73" s="340" t="s">
        <v>54</v>
      </c>
      <c r="C73" s="341">
        <f>+C40</f>
        <v>33013340</v>
      </c>
      <c r="D73" s="341">
        <f>+D40</f>
        <v>31325397</v>
      </c>
      <c r="E73" s="341">
        <f>+E40</f>
        <v>41294243</v>
      </c>
    </row>
    <row r="74" spans="1:5" ht="24" customHeight="1" x14ac:dyDescent="0.2">
      <c r="A74" s="339">
        <v>9</v>
      </c>
      <c r="B74" s="340" t="s">
        <v>58</v>
      </c>
      <c r="C74" s="353">
        <v>65056990</v>
      </c>
      <c r="D74" s="353">
        <v>67193532</v>
      </c>
      <c r="E74" s="353">
        <v>68199710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98070330</v>
      </c>
      <c r="D75" s="341">
        <f>+D73+D74</f>
        <v>98518929</v>
      </c>
      <c r="E75" s="341">
        <f>+E73+E74</f>
        <v>109493953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24.728854532157307</v>
      </c>
      <c r="D77" s="359">
        <f>IF(D80=0,0,(D78/D80)*100)</f>
        <v>17.032620148508173</v>
      </c>
      <c r="E77" s="359">
        <f>IF(E80=0,0,(E78/E80)*100)</f>
        <v>16.046899064274513</v>
      </c>
    </row>
    <row r="78" spans="1:5" ht="24" customHeight="1" x14ac:dyDescent="0.2">
      <c r="A78" s="339">
        <v>12</v>
      </c>
      <c r="B78" s="340" t="s">
        <v>58</v>
      </c>
      <c r="C78" s="341">
        <f>+C74</f>
        <v>65056990</v>
      </c>
      <c r="D78" s="341">
        <f>+D74</f>
        <v>67193532</v>
      </c>
      <c r="E78" s="341">
        <f>+E74</f>
        <v>68199710</v>
      </c>
    </row>
    <row r="79" spans="1:5" ht="24" customHeight="1" x14ac:dyDescent="0.2">
      <c r="A79" s="339">
        <v>13</v>
      </c>
      <c r="B79" s="340" t="s">
        <v>67</v>
      </c>
      <c r="C79" s="341">
        <f>+C32</f>
        <v>198024302</v>
      </c>
      <c r="D79" s="341">
        <f>+D32</f>
        <v>327305561</v>
      </c>
      <c r="E79" s="341">
        <f>+E32</f>
        <v>356802714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263081292</v>
      </c>
      <c r="D80" s="341">
        <f>+D78+D79</f>
        <v>394499093</v>
      </c>
      <c r="E80" s="341">
        <f>+E78+E79</f>
        <v>425002424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FILING&amp;R&amp;8BACKUS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36596</v>
      </c>
      <c r="D11" s="376">
        <v>8327</v>
      </c>
      <c r="E11" s="376">
        <v>8349</v>
      </c>
      <c r="F11" s="377">
        <v>138</v>
      </c>
      <c r="G11" s="377">
        <v>166</v>
      </c>
      <c r="H11" s="378">
        <f>IF(F11=0,0,$C11/(F11*365))</f>
        <v>0.72654357752630538</v>
      </c>
      <c r="I11" s="378">
        <f>IF(G11=0,0,$C11/(G11*365))</f>
        <v>0.6039940584254827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3456</v>
      </c>
      <c r="D13" s="376">
        <v>178</v>
      </c>
      <c r="E13" s="376">
        <v>0</v>
      </c>
      <c r="F13" s="377">
        <v>12</v>
      </c>
      <c r="G13" s="377">
        <v>12</v>
      </c>
      <c r="H13" s="378">
        <f>IF(F13=0,0,$C13/(F13*365))</f>
        <v>0.78904109589041094</v>
      </c>
      <c r="I13" s="378">
        <f>IF(G13=0,0,$C13/(G13*365))</f>
        <v>0.78904109589041094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4697</v>
      </c>
      <c r="D16" s="376">
        <v>579</v>
      </c>
      <c r="E16" s="376">
        <v>578</v>
      </c>
      <c r="F16" s="377">
        <v>18</v>
      </c>
      <c r="G16" s="377">
        <v>20</v>
      </c>
      <c r="H16" s="378">
        <f t="shared" si="0"/>
        <v>0.71491628614916292</v>
      </c>
      <c r="I16" s="378">
        <f t="shared" si="0"/>
        <v>0.6434246575342466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4697</v>
      </c>
      <c r="D17" s="381">
        <f>SUM(D15:D16)</f>
        <v>579</v>
      </c>
      <c r="E17" s="381">
        <f>SUM(E15:E16)</f>
        <v>578</v>
      </c>
      <c r="F17" s="381">
        <f>SUM(F15:F16)</f>
        <v>18</v>
      </c>
      <c r="G17" s="381">
        <f>SUM(G15:G16)</f>
        <v>20</v>
      </c>
      <c r="H17" s="382">
        <f t="shared" si="0"/>
        <v>0.71491628614916292</v>
      </c>
      <c r="I17" s="382">
        <f t="shared" si="0"/>
        <v>0.6434246575342466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2070</v>
      </c>
      <c r="D21" s="376">
        <v>886</v>
      </c>
      <c r="E21" s="376">
        <v>874</v>
      </c>
      <c r="F21" s="377">
        <v>15</v>
      </c>
      <c r="G21" s="377">
        <v>15</v>
      </c>
      <c r="H21" s="378">
        <f>IF(F21=0,0,$C21/(F21*365))</f>
        <v>0.37808219178082192</v>
      </c>
      <c r="I21" s="378">
        <f>IF(G21=0,0,$C21/(G21*365))</f>
        <v>0.37808219178082192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2021</v>
      </c>
      <c r="D23" s="376">
        <v>898</v>
      </c>
      <c r="E23" s="376">
        <v>896</v>
      </c>
      <c r="F23" s="377">
        <v>18</v>
      </c>
      <c r="G23" s="377">
        <v>20</v>
      </c>
      <c r="H23" s="378">
        <f>IF(F23=0,0,$C23/(F23*365))</f>
        <v>0.30761035007610349</v>
      </c>
      <c r="I23" s="378">
        <f>IF(G23=0,0,$C23/(G23*365))</f>
        <v>0.27684931506849314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46819</v>
      </c>
      <c r="D31" s="384">
        <f>SUM(D10:D29)-D13-D17-D23</f>
        <v>9792</v>
      </c>
      <c r="E31" s="384">
        <f>SUM(E10:E29)-E17-E23</f>
        <v>9801</v>
      </c>
      <c r="F31" s="384">
        <f>SUM(F10:F29)-F17-F23</f>
        <v>183</v>
      </c>
      <c r="G31" s="384">
        <f>SUM(G10:G29)-G17-G23</f>
        <v>213</v>
      </c>
      <c r="H31" s="385">
        <f>IF(F31=0,0,$C31/(F31*365))</f>
        <v>0.70093569877984874</v>
      </c>
      <c r="I31" s="385">
        <f>IF(G31=0,0,$C31/(G31*365))</f>
        <v>0.60221236092353203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48840</v>
      </c>
      <c r="D33" s="384">
        <f>SUM(D10:D29)-D13-D17</f>
        <v>10690</v>
      </c>
      <c r="E33" s="384">
        <f>SUM(E10:E29)-E17</f>
        <v>10697</v>
      </c>
      <c r="F33" s="384">
        <f>SUM(F10:F29)-F17</f>
        <v>201</v>
      </c>
      <c r="G33" s="384">
        <f>SUM(G10:G29)-G17</f>
        <v>233</v>
      </c>
      <c r="H33" s="385">
        <f>IF(F33=0,0,$C33/(F33*365))</f>
        <v>0.66571253322428947</v>
      </c>
      <c r="I33" s="385">
        <f>IF(G33=0,0,$C33/(G33*365))</f>
        <v>0.5742842024810394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48840</v>
      </c>
      <c r="D36" s="384">
        <f t="shared" si="1"/>
        <v>10690</v>
      </c>
      <c r="E36" s="384">
        <f t="shared" si="1"/>
        <v>10697</v>
      </c>
      <c r="F36" s="384">
        <f t="shared" si="1"/>
        <v>201</v>
      </c>
      <c r="G36" s="384">
        <f t="shared" si="1"/>
        <v>233</v>
      </c>
      <c r="H36" s="387">
        <f t="shared" si="1"/>
        <v>0.66571253322428947</v>
      </c>
      <c r="I36" s="387">
        <f t="shared" si="1"/>
        <v>0.5742842024810394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48465</v>
      </c>
      <c r="D37" s="384">
        <v>11396</v>
      </c>
      <c r="E37" s="384">
        <v>11434</v>
      </c>
      <c r="F37" s="386">
        <v>201</v>
      </c>
      <c r="G37" s="386">
        <v>233</v>
      </c>
      <c r="H37" s="385">
        <f>IF(F37=0,0,$C37/(F37*365))</f>
        <v>0.66060110406869765</v>
      </c>
      <c r="I37" s="385">
        <f>IF(G37=0,0,$C37/(G37*365))</f>
        <v>0.56987477217943439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375</v>
      </c>
      <c r="D38" s="384">
        <f t="shared" si="2"/>
        <v>-706</v>
      </c>
      <c r="E38" s="384">
        <f t="shared" si="2"/>
        <v>-737</v>
      </c>
      <c r="F38" s="384">
        <f t="shared" si="2"/>
        <v>0</v>
      </c>
      <c r="G38" s="384">
        <f t="shared" si="2"/>
        <v>0</v>
      </c>
      <c r="H38" s="387">
        <f t="shared" si="2"/>
        <v>5.1114291555918179E-3</v>
      </c>
      <c r="I38" s="387">
        <f t="shared" si="2"/>
        <v>4.4094303016050107E-3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7.7375425564840603E-3</v>
      </c>
      <c r="D40" s="389">
        <f t="shared" si="3"/>
        <v>-6.195156195156195E-2</v>
      </c>
      <c r="E40" s="389">
        <f t="shared" si="3"/>
        <v>-6.4456882980584218E-2</v>
      </c>
      <c r="F40" s="389">
        <f t="shared" si="3"/>
        <v>0</v>
      </c>
      <c r="G40" s="389">
        <f t="shared" si="3"/>
        <v>0</v>
      </c>
      <c r="H40" s="389">
        <f t="shared" si="3"/>
        <v>7.7375425564839301E-3</v>
      </c>
      <c r="I40" s="389">
        <f t="shared" si="3"/>
        <v>7.737542556484023E-3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233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FILING&amp;RWILLIAM W. BACKUS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8262</v>
      </c>
      <c r="D12" s="409">
        <v>8272</v>
      </c>
      <c r="E12" s="409">
        <f>+D12-C12</f>
        <v>10</v>
      </c>
      <c r="F12" s="410">
        <f>IF(C12=0,0,+E12/C12)</f>
        <v>1.2103606874848704E-3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12572</v>
      </c>
      <c r="D13" s="409">
        <v>14329</v>
      </c>
      <c r="E13" s="409">
        <f>+D13-C13</f>
        <v>1757</v>
      </c>
      <c r="F13" s="410">
        <f>IF(C13=0,0,+E13/C13)</f>
        <v>0.13975501113585745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13407</v>
      </c>
      <c r="D14" s="409">
        <v>14887</v>
      </c>
      <c r="E14" s="409">
        <f>+D14-C14</f>
        <v>1480</v>
      </c>
      <c r="F14" s="410">
        <f>IF(C14=0,0,+E14/C14)</f>
        <v>0.11039009472663534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34241</v>
      </c>
      <c r="D16" s="401">
        <f>SUM(D12:D15)</f>
        <v>37488</v>
      </c>
      <c r="E16" s="401">
        <f>+D16-C16</f>
        <v>3247</v>
      </c>
      <c r="F16" s="402">
        <f>IF(C16=0,0,+E16/C16)</f>
        <v>9.482783797202185E-2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1120</v>
      </c>
      <c r="D19" s="409">
        <v>1065</v>
      </c>
      <c r="E19" s="409">
        <f>+D19-C19</f>
        <v>-55</v>
      </c>
      <c r="F19" s="410">
        <f>IF(C19=0,0,+E19/C19)</f>
        <v>-4.9107142857142856E-2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9121</v>
      </c>
      <c r="D20" s="409">
        <v>9684</v>
      </c>
      <c r="E20" s="409">
        <f>+D20-C20</f>
        <v>563</v>
      </c>
      <c r="F20" s="410">
        <f>IF(C20=0,0,+E20/C20)</f>
        <v>6.1725687972810001E-2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391</v>
      </c>
      <c r="D21" s="409">
        <v>434</v>
      </c>
      <c r="E21" s="409">
        <f>+D21-C21</f>
        <v>43</v>
      </c>
      <c r="F21" s="410">
        <f>IF(C21=0,0,+E21/C21)</f>
        <v>0.10997442455242967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10632</v>
      </c>
      <c r="D23" s="401">
        <f>SUM(D19:D22)</f>
        <v>11183</v>
      </c>
      <c r="E23" s="401">
        <f>+D23-C23</f>
        <v>551</v>
      </c>
      <c r="F23" s="402">
        <f>IF(C23=0,0,+E23/C23)</f>
        <v>5.1824680210684725E-2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7</v>
      </c>
      <c r="D33" s="409">
        <v>10</v>
      </c>
      <c r="E33" s="409">
        <f>+D33-C33</f>
        <v>3</v>
      </c>
      <c r="F33" s="410">
        <f>IF(C33=0,0,+E33/C33)</f>
        <v>0.42857142857142855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703</v>
      </c>
      <c r="D34" s="409">
        <v>698</v>
      </c>
      <c r="E34" s="409">
        <f>+D34-C34</f>
        <v>-5</v>
      </c>
      <c r="F34" s="410">
        <f>IF(C34=0,0,+E34/C34)</f>
        <v>-7.1123755334281651E-3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710</v>
      </c>
      <c r="D37" s="401">
        <f>SUM(D33:D36)</f>
        <v>708</v>
      </c>
      <c r="E37" s="401">
        <f>+D37-C37</f>
        <v>-2</v>
      </c>
      <c r="F37" s="402">
        <f>IF(C37=0,0,+E37/C37)</f>
        <v>-2.8169014084507044E-3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326</v>
      </c>
      <c r="D43" s="409">
        <v>445</v>
      </c>
      <c r="E43" s="409">
        <f>+D43-C43</f>
        <v>119</v>
      </c>
      <c r="F43" s="410">
        <f>IF(C43=0,0,+E43/C43)</f>
        <v>0.36503067484662577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9822</v>
      </c>
      <c r="D44" s="409">
        <v>9901</v>
      </c>
      <c r="E44" s="409">
        <f>+D44-C44</f>
        <v>79</v>
      </c>
      <c r="F44" s="410">
        <f>IF(C44=0,0,+E44/C44)</f>
        <v>8.0431683974750562E-3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10148</v>
      </c>
      <c r="D45" s="401">
        <f>SUM(D43:D44)</f>
        <v>10346</v>
      </c>
      <c r="E45" s="401">
        <f>+D45-C45</f>
        <v>198</v>
      </c>
      <c r="F45" s="402">
        <f>IF(C45=0,0,+E45/C45)</f>
        <v>1.951123374063855E-2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200</v>
      </c>
      <c r="D48" s="409">
        <v>78</v>
      </c>
      <c r="E48" s="409">
        <f>+D48-C48</f>
        <v>-122</v>
      </c>
      <c r="F48" s="410">
        <f>IF(C48=0,0,+E48/C48)</f>
        <v>-0.61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166</v>
      </c>
      <c r="D49" s="409">
        <v>140</v>
      </c>
      <c r="E49" s="409">
        <f>+D49-C49</f>
        <v>-26</v>
      </c>
      <c r="F49" s="410">
        <f>IF(C49=0,0,+E49/C49)</f>
        <v>-0.15662650602409639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366</v>
      </c>
      <c r="D50" s="401">
        <f>SUM(D48:D49)</f>
        <v>218</v>
      </c>
      <c r="E50" s="401">
        <f>+D50-C50</f>
        <v>-148</v>
      </c>
      <c r="F50" s="402">
        <f>IF(C50=0,0,+E50/C50)</f>
        <v>-0.40437158469945356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29</v>
      </c>
      <c r="D58" s="409">
        <v>11</v>
      </c>
      <c r="E58" s="409">
        <f>+D58-C58</f>
        <v>-18</v>
      </c>
      <c r="F58" s="410">
        <f>IF(C58=0,0,+E58/C58)</f>
        <v>-0.62068965517241381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23</v>
      </c>
      <c r="D59" s="409">
        <v>68</v>
      </c>
      <c r="E59" s="409">
        <f>+D59-C59</f>
        <v>45</v>
      </c>
      <c r="F59" s="410">
        <f>IF(C59=0,0,+E59/C59)</f>
        <v>1.9565217391304348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52</v>
      </c>
      <c r="D60" s="401">
        <f>SUM(D58:D59)</f>
        <v>79</v>
      </c>
      <c r="E60" s="401">
        <f>SUM(E58:E59)</f>
        <v>27</v>
      </c>
      <c r="F60" s="402">
        <f>IF(C60=0,0,+E60/C60)</f>
        <v>0.51923076923076927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2787</v>
      </c>
      <c r="D63" s="409">
        <v>2532</v>
      </c>
      <c r="E63" s="409">
        <f>+D63-C63</f>
        <v>-255</v>
      </c>
      <c r="F63" s="410">
        <f>IF(C63=0,0,+E63/C63)</f>
        <v>-9.1496232508073191E-2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6323</v>
      </c>
      <c r="D64" s="409">
        <v>6363</v>
      </c>
      <c r="E64" s="409">
        <f>+D64-C64</f>
        <v>40</v>
      </c>
      <c r="F64" s="410">
        <f>IF(C64=0,0,+E64/C64)</f>
        <v>6.3261110232484584E-3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9110</v>
      </c>
      <c r="D65" s="401">
        <f>SUM(D63:D64)</f>
        <v>8895</v>
      </c>
      <c r="E65" s="401">
        <f>+D65-C65</f>
        <v>-215</v>
      </c>
      <c r="F65" s="402">
        <f>IF(C65=0,0,+E65/C65)</f>
        <v>-2.3600439077936335E-2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467</v>
      </c>
      <c r="D68" s="409">
        <v>548</v>
      </c>
      <c r="E68" s="409">
        <f>+D68-C68</f>
        <v>81</v>
      </c>
      <c r="F68" s="410">
        <f>IF(C68=0,0,+E68/C68)</f>
        <v>0.17344753747323341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2567</v>
      </c>
      <c r="D69" s="409">
        <v>2508</v>
      </c>
      <c r="E69" s="409">
        <f>+D69-C69</f>
        <v>-59</v>
      </c>
      <c r="F69" s="412">
        <f>IF(C69=0,0,+E69/C69)</f>
        <v>-2.2984028048305415E-2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3034</v>
      </c>
      <c r="D70" s="401">
        <f>SUM(D68:D69)</f>
        <v>3056</v>
      </c>
      <c r="E70" s="401">
        <f>+D70-C70</f>
        <v>22</v>
      </c>
      <c r="F70" s="402">
        <f>IF(C70=0,0,+E70/C70)</f>
        <v>7.2511535926170073E-3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7289</v>
      </c>
      <c r="D73" s="376">
        <v>6794</v>
      </c>
      <c r="E73" s="409">
        <f>+D73-C73</f>
        <v>-495</v>
      </c>
      <c r="F73" s="410">
        <f>IF(C73=0,0,+E73/C73)</f>
        <v>-6.7910550144052687E-2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71555</v>
      </c>
      <c r="D74" s="376">
        <v>72087</v>
      </c>
      <c r="E74" s="409">
        <f>+D74-C74</f>
        <v>532</v>
      </c>
      <c r="F74" s="410">
        <f>IF(C74=0,0,+E74/C74)</f>
        <v>7.4348403326112778E-3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78844</v>
      </c>
      <c r="D75" s="401">
        <f>SUM(D73:D74)</f>
        <v>78881</v>
      </c>
      <c r="E75" s="401">
        <f>SUM(E73:E74)</f>
        <v>37</v>
      </c>
      <c r="F75" s="402">
        <f>IF(C75=0,0,+E75/C75)</f>
        <v>4.6928111206940285E-4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15965</v>
      </c>
      <c r="D81" s="376">
        <v>16078</v>
      </c>
      <c r="E81" s="409">
        <f t="shared" si="0"/>
        <v>113</v>
      </c>
      <c r="F81" s="410">
        <f t="shared" si="1"/>
        <v>7.0779830880050108E-3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2046</v>
      </c>
      <c r="D89" s="376">
        <v>1851</v>
      </c>
      <c r="E89" s="409">
        <f t="shared" si="0"/>
        <v>-195</v>
      </c>
      <c r="F89" s="410">
        <f t="shared" si="1"/>
        <v>-9.5307917888563048E-2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40905</v>
      </c>
      <c r="D91" s="376">
        <v>44227</v>
      </c>
      <c r="E91" s="409">
        <f t="shared" si="0"/>
        <v>3322</v>
      </c>
      <c r="F91" s="410">
        <f t="shared" si="1"/>
        <v>8.1212565701014552E-2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58916</v>
      </c>
      <c r="D92" s="381">
        <f>SUM(D79:D91)</f>
        <v>62156</v>
      </c>
      <c r="E92" s="401">
        <f t="shared" si="0"/>
        <v>3240</v>
      </c>
      <c r="F92" s="402">
        <f t="shared" si="1"/>
        <v>5.499355013918121E-2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15854</v>
      </c>
      <c r="D95" s="414">
        <v>19230</v>
      </c>
      <c r="E95" s="415">
        <f t="shared" ref="E95:E100" si="2">+D95-C95</f>
        <v>3376</v>
      </c>
      <c r="F95" s="412">
        <f t="shared" ref="F95:F100" si="3">IF(C95=0,0,+E95/C95)</f>
        <v>0.21294310584079729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4245</v>
      </c>
      <c r="D96" s="414">
        <v>4583</v>
      </c>
      <c r="E96" s="409">
        <f t="shared" si="2"/>
        <v>338</v>
      </c>
      <c r="F96" s="410">
        <f t="shared" si="3"/>
        <v>7.9623085983510006E-2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2197</v>
      </c>
      <c r="D97" s="414">
        <v>2550</v>
      </c>
      <c r="E97" s="409">
        <f t="shared" si="2"/>
        <v>353</v>
      </c>
      <c r="F97" s="410">
        <f t="shared" si="3"/>
        <v>0.16067364588074648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182253</v>
      </c>
      <c r="D99" s="414">
        <v>193961</v>
      </c>
      <c r="E99" s="409">
        <f t="shared" si="2"/>
        <v>11708</v>
      </c>
      <c r="F99" s="410">
        <f t="shared" si="3"/>
        <v>6.4240369157160651E-2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204549</v>
      </c>
      <c r="D100" s="381">
        <f>SUM(D95:D99)</f>
        <v>220324</v>
      </c>
      <c r="E100" s="401">
        <f t="shared" si="2"/>
        <v>15775</v>
      </c>
      <c r="F100" s="402">
        <f t="shared" si="3"/>
        <v>7.7120885460207581E-2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442.7</v>
      </c>
      <c r="D104" s="416">
        <v>423.1</v>
      </c>
      <c r="E104" s="417">
        <f>+D104-C104</f>
        <v>-19.599999999999966</v>
      </c>
      <c r="F104" s="410">
        <f>IF(C104=0,0,+E104/C104)</f>
        <v>-4.4273774565168213E-2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44</v>
      </c>
      <c r="D105" s="416">
        <v>42.4</v>
      </c>
      <c r="E105" s="417">
        <f>+D105-C105</f>
        <v>-1.6000000000000014</v>
      </c>
      <c r="F105" s="410">
        <f>IF(C105=0,0,+E105/C105)</f>
        <v>-3.6363636363636397E-2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1045</v>
      </c>
      <c r="D106" s="416">
        <v>991.5</v>
      </c>
      <c r="E106" s="417">
        <f>+D106-C106</f>
        <v>-53.5</v>
      </c>
      <c r="F106" s="410">
        <f>IF(C106=0,0,+E106/C106)</f>
        <v>-5.119617224880383E-2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1531.7</v>
      </c>
      <c r="D107" s="418">
        <f>SUM(D104:D106)</f>
        <v>1457</v>
      </c>
      <c r="E107" s="418">
        <f>+D107-C107</f>
        <v>-74.700000000000045</v>
      </c>
      <c r="F107" s="402">
        <f>IF(C107=0,0,+E107/C107)</f>
        <v>-4.8769341254814941E-2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FILING&amp;RWILLIAM W. BACKUS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6323</v>
      </c>
      <c r="D12" s="409">
        <v>6363</v>
      </c>
      <c r="E12" s="409">
        <f>+D12-C12</f>
        <v>40</v>
      </c>
      <c r="F12" s="410">
        <f>IF(C12=0,0,+E12/C12)</f>
        <v>6.3261110232484584E-3</v>
      </c>
    </row>
    <row r="13" spans="1:6" ht="15.75" customHeight="1" x14ac:dyDescent="0.25">
      <c r="A13" s="374"/>
      <c r="B13" s="399" t="s">
        <v>622</v>
      </c>
      <c r="C13" s="401">
        <f>SUM(C11:C12)</f>
        <v>6323</v>
      </c>
      <c r="D13" s="401">
        <f>SUM(D11:D12)</f>
        <v>6363</v>
      </c>
      <c r="E13" s="401">
        <f>+D13-C13</f>
        <v>40</v>
      </c>
      <c r="F13" s="402">
        <f>IF(C13=0,0,+E13/C13)</f>
        <v>6.3261110232484584E-3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2567</v>
      </c>
      <c r="D16" s="409">
        <v>2508</v>
      </c>
      <c r="E16" s="409">
        <f>+D16-C16</f>
        <v>-59</v>
      </c>
      <c r="F16" s="410">
        <f>IF(C16=0,0,+E16/C16)</f>
        <v>-2.2984028048305415E-2</v>
      </c>
    </row>
    <row r="17" spans="1:6" ht="15.75" customHeight="1" x14ac:dyDescent="0.25">
      <c r="A17" s="374"/>
      <c r="B17" s="399" t="s">
        <v>623</v>
      </c>
      <c r="C17" s="401">
        <f>SUM(C15:C16)</f>
        <v>2567</v>
      </c>
      <c r="D17" s="401">
        <f>SUM(D15:D16)</f>
        <v>2508</v>
      </c>
      <c r="E17" s="401">
        <f>+D17-C17</f>
        <v>-59</v>
      </c>
      <c r="F17" s="402">
        <f>IF(C17=0,0,+E17/C17)</f>
        <v>-2.2984028048305415E-2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52739</v>
      </c>
      <c r="D20" s="409">
        <v>51555</v>
      </c>
      <c r="E20" s="409">
        <f>+D20-C20</f>
        <v>-1184</v>
      </c>
      <c r="F20" s="410">
        <f>IF(C20=0,0,+E20/C20)</f>
        <v>-2.2450179184284876E-2</v>
      </c>
    </row>
    <row r="21" spans="1:6" ht="15.75" customHeight="1" x14ac:dyDescent="0.2">
      <c r="A21" s="374">
        <v>2</v>
      </c>
      <c r="B21" s="408" t="s">
        <v>625</v>
      </c>
      <c r="C21" s="409">
        <v>18816</v>
      </c>
      <c r="D21" s="409">
        <v>20532</v>
      </c>
      <c r="E21" s="409">
        <f>+D21-C21</f>
        <v>1716</v>
      </c>
      <c r="F21" s="410">
        <f>IF(C21=0,0,+E21/C21)</f>
        <v>9.1198979591836732E-2</v>
      </c>
    </row>
    <row r="22" spans="1:6" ht="15.75" customHeight="1" x14ac:dyDescent="0.25">
      <c r="A22" s="374"/>
      <c r="B22" s="399" t="s">
        <v>626</v>
      </c>
      <c r="C22" s="401">
        <f>SUM(C19:C21)</f>
        <v>71555</v>
      </c>
      <c r="D22" s="401">
        <f>SUM(D19:D21)</f>
        <v>72087</v>
      </c>
      <c r="E22" s="401">
        <f>+D22-C22</f>
        <v>532</v>
      </c>
      <c r="F22" s="402">
        <f>IF(C22=0,0,+E22/C22)</f>
        <v>7.4348403326112778E-3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FILING&amp;RWILLIAM W. BACKUS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131136626</v>
      </c>
      <c r="D15" s="448">
        <v>134661462</v>
      </c>
      <c r="E15" s="448">
        <f t="shared" ref="E15:E24" si="0">D15-C15</f>
        <v>3524836</v>
      </c>
      <c r="F15" s="449">
        <f t="shared" ref="F15:F24" si="1">IF(C15=0,0,E15/C15)</f>
        <v>2.6879111561098117E-2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54316391</v>
      </c>
      <c r="D16" s="448">
        <v>60975522</v>
      </c>
      <c r="E16" s="448">
        <f t="shared" si="0"/>
        <v>6659131</v>
      </c>
      <c r="F16" s="449">
        <f t="shared" si="1"/>
        <v>0.12259892230321415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0.41419695364131148</v>
      </c>
      <c r="D17" s="453">
        <f>IF(LN_IA1=0,0,LN_IA2/LN_IA1)</f>
        <v>0.45280602998354497</v>
      </c>
      <c r="E17" s="454">
        <f t="shared" si="0"/>
        <v>3.8609076342233484E-2</v>
      </c>
      <c r="F17" s="449">
        <f t="shared" si="1"/>
        <v>9.3214293352018182E-2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5244</v>
      </c>
      <c r="D18" s="456">
        <v>4906</v>
      </c>
      <c r="E18" s="456">
        <f t="shared" si="0"/>
        <v>-338</v>
      </c>
      <c r="F18" s="449">
        <f t="shared" si="1"/>
        <v>-6.4454614797864226E-2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1.4244000000000001</v>
      </c>
      <c r="D19" s="459">
        <v>1.4553</v>
      </c>
      <c r="E19" s="460">
        <f t="shared" si="0"/>
        <v>3.0899999999999928E-2</v>
      </c>
      <c r="F19" s="449">
        <f t="shared" si="1"/>
        <v>2.1693344566133057E-2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7469.5536000000002</v>
      </c>
      <c r="D20" s="463">
        <f>LN_IA4*LN_IA5</f>
        <v>7139.7017999999998</v>
      </c>
      <c r="E20" s="463">
        <f t="shared" si="0"/>
        <v>-329.85180000000037</v>
      </c>
      <c r="F20" s="449">
        <f t="shared" si="1"/>
        <v>-4.4159506399418617E-2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7271.7050989499558</v>
      </c>
      <c r="D21" s="465">
        <f>IF(LN_IA6=0,0,LN_IA2/LN_IA6)</f>
        <v>8540.34576065908</v>
      </c>
      <c r="E21" s="465">
        <f t="shared" si="0"/>
        <v>1268.6406617091243</v>
      </c>
      <c r="F21" s="449">
        <f t="shared" si="1"/>
        <v>0.17446261151216347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26720</v>
      </c>
      <c r="D22" s="456">
        <v>26606</v>
      </c>
      <c r="E22" s="456">
        <f t="shared" si="0"/>
        <v>-114</v>
      </c>
      <c r="F22" s="449">
        <f t="shared" si="1"/>
        <v>-4.2664670658682635E-3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2032.7990643712574</v>
      </c>
      <c r="D23" s="465">
        <f>IF(LN_IA8=0,0,LN_IA2/LN_IA8)</f>
        <v>2291.7959106968351</v>
      </c>
      <c r="E23" s="465">
        <f t="shared" si="0"/>
        <v>258.99684632557774</v>
      </c>
      <c r="F23" s="449">
        <f t="shared" si="1"/>
        <v>0.12740897556723599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5.0953470633104496</v>
      </c>
      <c r="D24" s="466">
        <f>IF(LN_IA4=0,0,LN_IA8/LN_IA4)</f>
        <v>5.4231553200163063</v>
      </c>
      <c r="E24" s="466">
        <f t="shared" si="0"/>
        <v>0.32780825670585667</v>
      </c>
      <c r="F24" s="449">
        <f t="shared" si="1"/>
        <v>6.4334824033140434E-2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131894352</v>
      </c>
      <c r="D27" s="448">
        <v>153783721</v>
      </c>
      <c r="E27" s="448">
        <f t="shared" ref="E27:E32" si="2">D27-C27</f>
        <v>21889369</v>
      </c>
      <c r="F27" s="449">
        <f t="shared" ref="F27:F32" si="3">IF(C27=0,0,E27/C27)</f>
        <v>0.16596138248588538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31703568</v>
      </c>
      <c r="D28" s="448">
        <v>38182696</v>
      </c>
      <c r="E28" s="448">
        <f t="shared" si="2"/>
        <v>6479128</v>
      </c>
      <c r="F28" s="449">
        <f t="shared" si="3"/>
        <v>0.20436589345401124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0.24037092960584089</v>
      </c>
      <c r="D29" s="453">
        <f>IF(LN_IA11=0,0,LN_IA12/LN_IA11)</f>
        <v>0.24828828273702649</v>
      </c>
      <c r="E29" s="454">
        <f t="shared" si="2"/>
        <v>7.917353131185606E-3</v>
      </c>
      <c r="F29" s="449">
        <f t="shared" si="3"/>
        <v>3.2938064283266053E-2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1.0057781416459501</v>
      </c>
      <c r="D30" s="453">
        <f>IF(LN_IA1=0,0,LN_IA11/LN_IA1)</f>
        <v>1.1420024609564985</v>
      </c>
      <c r="E30" s="454">
        <f t="shared" si="2"/>
        <v>0.13622431931054835</v>
      </c>
      <c r="F30" s="449">
        <f t="shared" si="3"/>
        <v>0.13544171787986767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5274.3005747913621</v>
      </c>
      <c r="D31" s="463">
        <f>LN_IA14*LN_IA4</f>
        <v>5602.6640734525818</v>
      </c>
      <c r="E31" s="463">
        <f t="shared" si="2"/>
        <v>328.36349866121964</v>
      </c>
      <c r="F31" s="449">
        <f t="shared" si="3"/>
        <v>6.2257259328495677E-2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6010.9520779926561</v>
      </c>
      <c r="D32" s="465">
        <f>IF(LN_IA15=0,0,LN_IA12/LN_IA15)</f>
        <v>6815.0964433015388</v>
      </c>
      <c r="E32" s="465">
        <f t="shared" si="2"/>
        <v>804.1443653088827</v>
      </c>
      <c r="F32" s="449">
        <f t="shared" si="3"/>
        <v>0.13377986629655927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263030978</v>
      </c>
      <c r="D35" s="448">
        <f>LN_IA1+LN_IA11</f>
        <v>288445183</v>
      </c>
      <c r="E35" s="448">
        <f>D35-C35</f>
        <v>25414205</v>
      </c>
      <c r="F35" s="449">
        <f>IF(C35=0,0,E35/C35)</f>
        <v>9.6620577519960407E-2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86019959</v>
      </c>
      <c r="D36" s="448">
        <f>LN_IA2+LN_IA12</f>
        <v>99158218</v>
      </c>
      <c r="E36" s="448">
        <f>D36-C36</f>
        <v>13138259</v>
      </c>
      <c r="F36" s="449">
        <f>IF(C36=0,0,E36/C36)</f>
        <v>0.15273500653493685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177011019</v>
      </c>
      <c r="D37" s="448">
        <f>LN_IA17-LN_IA18</f>
        <v>189286965</v>
      </c>
      <c r="E37" s="448">
        <f>D37-C37</f>
        <v>12275946</v>
      </c>
      <c r="F37" s="449">
        <f>IF(C37=0,0,E37/C37)</f>
        <v>6.93513097057534E-2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69969354</v>
      </c>
      <c r="D42" s="448">
        <v>66629894</v>
      </c>
      <c r="E42" s="448">
        <f t="shared" ref="E42:E53" si="4">D42-C42</f>
        <v>-3339460</v>
      </c>
      <c r="F42" s="449">
        <f t="shared" ref="F42:F53" si="5">IF(C42=0,0,E42/C42)</f>
        <v>-4.7727466513410997E-2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51682398</v>
      </c>
      <c r="D43" s="448">
        <v>49700199</v>
      </c>
      <c r="E43" s="448">
        <f t="shared" si="4"/>
        <v>-1982199</v>
      </c>
      <c r="F43" s="449">
        <f t="shared" si="5"/>
        <v>-3.8353464171689555E-2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0.73864334948697685</v>
      </c>
      <c r="D44" s="453">
        <f>IF(LN_IB1=0,0,LN_IB2/LN_IB1)</f>
        <v>0.7459144239370995</v>
      </c>
      <c r="E44" s="454">
        <f t="shared" si="4"/>
        <v>7.2710744501226499E-3</v>
      </c>
      <c r="F44" s="449">
        <f t="shared" si="5"/>
        <v>9.8438230780426832E-3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3554</v>
      </c>
      <c r="D45" s="456">
        <v>3221</v>
      </c>
      <c r="E45" s="456">
        <f t="shared" si="4"/>
        <v>-333</v>
      </c>
      <c r="F45" s="449">
        <f t="shared" si="5"/>
        <v>-9.3697242543612835E-2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1.2533000000000001</v>
      </c>
      <c r="D46" s="459">
        <v>1.2708999999999999</v>
      </c>
      <c r="E46" s="460">
        <f t="shared" si="4"/>
        <v>1.7599999999999838E-2</v>
      </c>
      <c r="F46" s="449">
        <f t="shared" si="5"/>
        <v>1.4042926673581615E-2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4454.2282000000005</v>
      </c>
      <c r="D47" s="463">
        <f>LN_IB4*LN_IB5</f>
        <v>4093.5688999999998</v>
      </c>
      <c r="E47" s="463">
        <f t="shared" si="4"/>
        <v>-360.65930000000071</v>
      </c>
      <c r="F47" s="449">
        <f t="shared" si="5"/>
        <v>-8.0970099376588001E-2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11602.997349799005</v>
      </c>
      <c r="D48" s="465">
        <f>IF(LN_IB6=0,0,LN_IB2/LN_IB6)</f>
        <v>12141.043723485393</v>
      </c>
      <c r="E48" s="465">
        <f t="shared" si="4"/>
        <v>538.0463736863876</v>
      </c>
      <c r="F48" s="449">
        <f t="shared" si="5"/>
        <v>4.6371326086333028E-2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-4331.2922508490492</v>
      </c>
      <c r="D49" s="465">
        <f>LN_IA7-LN_IB7</f>
        <v>-3600.6979628263125</v>
      </c>
      <c r="E49" s="465">
        <f t="shared" si="4"/>
        <v>730.59428802273669</v>
      </c>
      <c r="F49" s="449">
        <f t="shared" si="5"/>
        <v>-0.16867813246255103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-19292564.086173311</v>
      </c>
      <c r="D50" s="479">
        <f>LN_IB8*LN_IB6</f>
        <v>-14739705.198919147</v>
      </c>
      <c r="E50" s="479">
        <f t="shared" si="4"/>
        <v>4552858.8872541636</v>
      </c>
      <c r="F50" s="449">
        <f t="shared" si="5"/>
        <v>-0.23599034669098903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11949</v>
      </c>
      <c r="D51" s="456">
        <v>11668</v>
      </c>
      <c r="E51" s="456">
        <f t="shared" si="4"/>
        <v>-281</v>
      </c>
      <c r="F51" s="449">
        <f t="shared" si="5"/>
        <v>-2.3516612268809106E-2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4325.2488074315843</v>
      </c>
      <c r="D52" s="465">
        <f>IF(LN_IB10=0,0,LN_IB2/LN_IB10)</f>
        <v>4259.5302536852932</v>
      </c>
      <c r="E52" s="465">
        <f t="shared" si="4"/>
        <v>-65.718553746291036</v>
      </c>
      <c r="F52" s="449">
        <f t="shared" si="5"/>
        <v>-1.5194167242673832E-2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3.3621271806415307</v>
      </c>
      <c r="D53" s="466">
        <f>IF(LN_IB4=0,0,LN_IB10/LN_IB4)</f>
        <v>3.6224774914622788</v>
      </c>
      <c r="E53" s="466">
        <f t="shared" si="4"/>
        <v>0.26035031082074811</v>
      </c>
      <c r="F53" s="449">
        <f t="shared" si="5"/>
        <v>7.7436187518364619E-2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181935829</v>
      </c>
      <c r="D56" s="448">
        <v>189577185</v>
      </c>
      <c r="E56" s="448">
        <f t="shared" ref="E56:E63" si="6">D56-C56</f>
        <v>7641356</v>
      </c>
      <c r="F56" s="449">
        <f t="shared" ref="F56:F63" si="7">IF(C56=0,0,E56/C56)</f>
        <v>4.2000281318969886E-2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102453556</v>
      </c>
      <c r="D57" s="448">
        <v>109150897</v>
      </c>
      <c r="E57" s="448">
        <f t="shared" si="6"/>
        <v>6697341</v>
      </c>
      <c r="F57" s="449">
        <f t="shared" si="7"/>
        <v>6.5369531927227595E-2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0.56313017926776809</v>
      </c>
      <c r="D58" s="453">
        <f>IF(LN_IB13=0,0,LN_IB14/LN_IB13)</f>
        <v>0.57575966749374408</v>
      </c>
      <c r="E58" s="454">
        <f t="shared" si="6"/>
        <v>1.2629488225975982E-2</v>
      </c>
      <c r="F58" s="449">
        <f t="shared" si="7"/>
        <v>2.2427297791778742E-2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2.6002216484662699</v>
      </c>
      <c r="D59" s="453">
        <f>IF(LN_IB1=0,0,LN_IB13/LN_IB1)</f>
        <v>2.8452271738568276</v>
      </c>
      <c r="E59" s="454">
        <f t="shared" si="6"/>
        <v>0.24500552539055764</v>
      </c>
      <c r="F59" s="449">
        <f t="shared" si="7"/>
        <v>9.4224861767100945E-2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9241.1877386491233</v>
      </c>
      <c r="D60" s="463">
        <f>LN_IB16*LN_IB4</f>
        <v>9164.4767269928416</v>
      </c>
      <c r="E60" s="463">
        <f t="shared" si="6"/>
        <v>-76.711011656281698</v>
      </c>
      <c r="F60" s="449">
        <f t="shared" si="7"/>
        <v>-8.3009905031423276E-3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11086.622076890806</v>
      </c>
      <c r="D61" s="465">
        <f>IF(LN_IB17=0,0,LN_IB14/LN_IB17)</f>
        <v>11910.215962304692</v>
      </c>
      <c r="E61" s="465">
        <f t="shared" si="6"/>
        <v>823.5938854138858</v>
      </c>
      <c r="F61" s="449">
        <f t="shared" si="7"/>
        <v>7.4287179602757686E-2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-5075.66999889815</v>
      </c>
      <c r="D62" s="465">
        <f>LN_IA16-LN_IB18</f>
        <v>-5095.1195190031531</v>
      </c>
      <c r="E62" s="465">
        <f t="shared" si="6"/>
        <v>-19.449520105003103</v>
      </c>
      <c r="F62" s="449">
        <f t="shared" si="7"/>
        <v>3.8319118676401922E-3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-46905219.35924679</v>
      </c>
      <c r="D63" s="448">
        <f>LN_IB19*LN_IB17</f>
        <v>-46694104.253151357</v>
      </c>
      <c r="E63" s="448">
        <f t="shared" si="6"/>
        <v>211115.10609543324</v>
      </c>
      <c r="F63" s="449">
        <f t="shared" si="7"/>
        <v>-4.5008872995242581E-3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251905183</v>
      </c>
      <c r="D66" s="448">
        <f>LN_IB1+LN_IB13</f>
        <v>256207079</v>
      </c>
      <c r="E66" s="448">
        <f>D66-C66</f>
        <v>4301896</v>
      </c>
      <c r="F66" s="449">
        <f>IF(C66=0,0,E66/C66)</f>
        <v>1.707744139587632E-2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154135954</v>
      </c>
      <c r="D67" s="448">
        <f>LN_IB2+LN_IB14</f>
        <v>158851096</v>
      </c>
      <c r="E67" s="448">
        <f>D67-C67</f>
        <v>4715142</v>
      </c>
      <c r="F67" s="449">
        <f>IF(C67=0,0,E67/C67)</f>
        <v>3.0590799081179981E-2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97769229</v>
      </c>
      <c r="D68" s="448">
        <f>LN_IB21-LN_IB22</f>
        <v>97355983</v>
      </c>
      <c r="E68" s="448">
        <f>D68-C68</f>
        <v>-413246</v>
      </c>
      <c r="F68" s="449">
        <f>IF(C68=0,0,E68/C68)</f>
        <v>-4.2267490930096218E-3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-66197783.445420101</v>
      </c>
      <c r="D70" s="441">
        <f>LN_IB9+LN_IB20</f>
        <v>-61433809.452070504</v>
      </c>
      <c r="E70" s="448">
        <f>D70-C70</f>
        <v>4763973.9933495969</v>
      </c>
      <c r="F70" s="449">
        <f>IF(C70=0,0,E70/C70)</f>
        <v>-7.1965762981739123E-2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226678237</v>
      </c>
      <c r="D73" s="488">
        <v>232933513</v>
      </c>
      <c r="E73" s="488">
        <f>D73-C73</f>
        <v>6255276</v>
      </c>
      <c r="F73" s="489">
        <f>IF(C73=0,0,E73/C73)</f>
        <v>2.7595397259067265E-2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149952877</v>
      </c>
      <c r="D74" s="488">
        <v>155251338</v>
      </c>
      <c r="E74" s="488">
        <f>D74-C74</f>
        <v>5298461</v>
      </c>
      <c r="F74" s="489">
        <f>IF(C74=0,0,E74/C74)</f>
        <v>3.5334173681776042E-2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76725360</v>
      </c>
      <c r="D76" s="441">
        <f>LN_IB32-LN_IB33</f>
        <v>77682175</v>
      </c>
      <c r="E76" s="488">
        <f>D76-C76</f>
        <v>956815</v>
      </c>
      <c r="F76" s="489">
        <f>IF(E76=0,0,E76/C76)</f>
        <v>1.2470648557400056E-2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0.33847695753871598</v>
      </c>
      <c r="D77" s="453">
        <f>IF(LN_IB32=0,0,LN_IB34/LN_IB32)</f>
        <v>0.33349505616222774</v>
      </c>
      <c r="E77" s="493">
        <f>D77-C77</f>
        <v>-4.9819013764882403E-3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3027720</v>
      </c>
      <c r="D83" s="448">
        <v>2221992</v>
      </c>
      <c r="E83" s="448">
        <f t="shared" ref="E83:E95" si="8">D83-C83</f>
        <v>-805728</v>
      </c>
      <c r="F83" s="449">
        <f t="shared" ref="F83:F95" si="9">IF(C83=0,0,E83/C83)</f>
        <v>-0.2661170781974555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493407</v>
      </c>
      <c r="D84" s="448">
        <v>392909</v>
      </c>
      <c r="E84" s="448">
        <f t="shared" si="8"/>
        <v>-100498</v>
      </c>
      <c r="F84" s="449">
        <f t="shared" si="9"/>
        <v>-0.2036817475228361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0.16296321984859893</v>
      </c>
      <c r="D85" s="453">
        <f>IF(LN_IC1=0,0,LN_IC2/LN_IC1)</f>
        <v>0.17682736931546109</v>
      </c>
      <c r="E85" s="454">
        <f t="shared" si="8"/>
        <v>1.3864149466862152E-2</v>
      </c>
      <c r="F85" s="449">
        <f t="shared" si="9"/>
        <v>8.5075328529607155E-2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132</v>
      </c>
      <c r="D86" s="456">
        <v>141</v>
      </c>
      <c r="E86" s="456">
        <f t="shared" si="8"/>
        <v>9</v>
      </c>
      <c r="F86" s="449">
        <f t="shared" si="9"/>
        <v>6.8181818181818177E-2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0.99509999999999998</v>
      </c>
      <c r="D87" s="459">
        <v>1.1024</v>
      </c>
      <c r="E87" s="460">
        <f t="shared" si="8"/>
        <v>0.10730000000000006</v>
      </c>
      <c r="F87" s="449">
        <f t="shared" si="9"/>
        <v>0.10782835895889867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131.35319999999999</v>
      </c>
      <c r="D88" s="463">
        <f>LN_IC4*LN_IC5</f>
        <v>155.4384</v>
      </c>
      <c r="E88" s="463">
        <f t="shared" si="8"/>
        <v>24.085200000000015</v>
      </c>
      <c r="F88" s="449">
        <f t="shared" si="9"/>
        <v>0.18336211070609637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3756.3378737632584</v>
      </c>
      <c r="D89" s="465">
        <f>IF(LN_IC6=0,0,LN_IC2/LN_IC6)</f>
        <v>2527.747326272015</v>
      </c>
      <c r="E89" s="465">
        <f t="shared" si="8"/>
        <v>-1228.5905474912433</v>
      </c>
      <c r="F89" s="449">
        <f t="shared" si="9"/>
        <v>-0.32707136279527199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7846.6594760357466</v>
      </c>
      <c r="D90" s="465">
        <f>LN_IB7-LN_IC7</f>
        <v>9613.2963972133766</v>
      </c>
      <c r="E90" s="465">
        <f t="shared" si="8"/>
        <v>1766.63692117763</v>
      </c>
      <c r="F90" s="449">
        <f t="shared" si="9"/>
        <v>0.225145098570043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3515.3672251866974</v>
      </c>
      <c r="D91" s="465">
        <f>LN_IA7-LN_IC7</f>
        <v>6012.598434387065</v>
      </c>
      <c r="E91" s="465">
        <f t="shared" si="8"/>
        <v>2497.2312092003676</v>
      </c>
      <c r="F91" s="449">
        <f t="shared" si="9"/>
        <v>0.7103756305481691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461754.73420339328</v>
      </c>
      <c r="D92" s="441">
        <f>LN_IC9*LN_IC6</f>
        <v>934588.68048363039</v>
      </c>
      <c r="E92" s="441">
        <f t="shared" si="8"/>
        <v>472833.94628023711</v>
      </c>
      <c r="F92" s="449">
        <f t="shared" si="9"/>
        <v>1.0239937162657518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496</v>
      </c>
      <c r="D93" s="456">
        <v>546</v>
      </c>
      <c r="E93" s="456">
        <f t="shared" si="8"/>
        <v>50</v>
      </c>
      <c r="F93" s="449">
        <f t="shared" si="9"/>
        <v>0.10080645161290322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994.77217741935488</v>
      </c>
      <c r="D94" s="499">
        <f>IF(LN_IC11=0,0,LN_IC2/LN_IC11)</f>
        <v>719.61355311355317</v>
      </c>
      <c r="E94" s="499">
        <f t="shared" si="8"/>
        <v>-275.15862430580171</v>
      </c>
      <c r="F94" s="449">
        <f t="shared" si="9"/>
        <v>-0.27660466441634929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3.7575757575757578</v>
      </c>
      <c r="D95" s="466">
        <f>IF(LN_IC4=0,0,LN_IC11/LN_IC4)</f>
        <v>3.8723404255319149</v>
      </c>
      <c r="E95" s="466">
        <f t="shared" si="8"/>
        <v>0.11476466795615714</v>
      </c>
      <c r="F95" s="449">
        <f t="shared" si="9"/>
        <v>3.0542210020590203E-2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11449862</v>
      </c>
      <c r="D98" s="448">
        <v>10795864</v>
      </c>
      <c r="E98" s="448">
        <f t="shared" ref="E98:E106" si="10">D98-C98</f>
        <v>-653998</v>
      </c>
      <c r="F98" s="449">
        <f t="shared" ref="F98:F106" si="11">IF(C98=0,0,E98/C98)</f>
        <v>-5.7118417671758841E-2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1892058</v>
      </c>
      <c r="D99" s="448">
        <v>1791848</v>
      </c>
      <c r="E99" s="448">
        <f t="shared" si="10"/>
        <v>-100210</v>
      </c>
      <c r="F99" s="449">
        <f t="shared" si="11"/>
        <v>-5.2963492662487094E-2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0.1652472318006977</v>
      </c>
      <c r="D100" s="453">
        <f>IF(LN_IC14=0,0,LN_IC15/LN_IC14)</f>
        <v>0.16597541428828669</v>
      </c>
      <c r="E100" s="454">
        <f t="shared" si="10"/>
        <v>7.2818248758899085E-4</v>
      </c>
      <c r="F100" s="449">
        <f t="shared" si="11"/>
        <v>4.4066244236226678E-3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3.7816779622950603</v>
      </c>
      <c r="D101" s="453">
        <f>IF(LN_IC1=0,0,LN_IC14/LN_IC1)</f>
        <v>4.858642155327292</v>
      </c>
      <c r="E101" s="454">
        <f t="shared" si="10"/>
        <v>1.0769641930322318</v>
      </c>
      <c r="F101" s="449">
        <f t="shared" si="11"/>
        <v>0.28478474470063908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499.18149102294797</v>
      </c>
      <c r="D102" s="463">
        <f>LN_IC17*LN_IC4</f>
        <v>685.06854390114813</v>
      </c>
      <c r="E102" s="463">
        <f t="shared" si="10"/>
        <v>185.88705287820017</v>
      </c>
      <c r="F102" s="449">
        <f t="shared" si="11"/>
        <v>0.37238370456659164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3790.3208232394577</v>
      </c>
      <c r="D103" s="465">
        <f>IF(LN_IC18=0,0,LN_IC15/LN_IC18)</f>
        <v>2615.5747712429697</v>
      </c>
      <c r="E103" s="465">
        <f t="shared" si="10"/>
        <v>-1174.7460519964879</v>
      </c>
      <c r="F103" s="449">
        <f t="shared" si="11"/>
        <v>-0.30993314465461863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7296.3012536513488</v>
      </c>
      <c r="D104" s="465">
        <f>LN_IB18-LN_IC19</f>
        <v>9294.6411910617226</v>
      </c>
      <c r="E104" s="465">
        <f t="shared" si="10"/>
        <v>1998.3399374103738</v>
      </c>
      <c r="F104" s="449">
        <f t="shared" si="11"/>
        <v>0.27388396777207191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2220.6312547531984</v>
      </c>
      <c r="D105" s="465">
        <f>LN_IA16-LN_IC19</f>
        <v>4199.5216720585686</v>
      </c>
      <c r="E105" s="465">
        <f t="shared" si="10"/>
        <v>1978.8904173053702</v>
      </c>
      <c r="F105" s="449">
        <f t="shared" si="11"/>
        <v>0.89113868548396369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1108498.0207598615</v>
      </c>
      <c r="D106" s="448">
        <f>LN_IC21*LN_IC18</f>
        <v>2876960.1969584785</v>
      </c>
      <c r="E106" s="448">
        <f t="shared" si="10"/>
        <v>1768462.1761986171</v>
      </c>
      <c r="F106" s="449">
        <f t="shared" si="11"/>
        <v>1.5953679150336764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14477582</v>
      </c>
      <c r="D109" s="448">
        <f>LN_IC1+LN_IC14</f>
        <v>13017856</v>
      </c>
      <c r="E109" s="448">
        <f>D109-C109</f>
        <v>-1459726</v>
      </c>
      <c r="F109" s="449">
        <f>IF(C109=0,0,E109/C109)</f>
        <v>-0.10082664356520309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2385465</v>
      </c>
      <c r="D110" s="448">
        <f>LN_IC2+LN_IC15</f>
        <v>2184757</v>
      </c>
      <c r="E110" s="448">
        <f>D110-C110</f>
        <v>-200708</v>
      </c>
      <c r="F110" s="449">
        <f>IF(C110=0,0,E110/C110)</f>
        <v>-8.4137893450543191E-2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12092117</v>
      </c>
      <c r="D111" s="448">
        <f>LN_IC23-LN_IC24</f>
        <v>10833099</v>
      </c>
      <c r="E111" s="448">
        <f>D111-C111</f>
        <v>-1259018</v>
      </c>
      <c r="F111" s="449">
        <f>IF(C111=0,0,E111/C111)</f>
        <v>-0.10411890655705697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1570252.7549632548</v>
      </c>
      <c r="D113" s="448">
        <f>LN_IC10+LN_IC22</f>
        <v>3811548.8774421089</v>
      </c>
      <c r="E113" s="448">
        <f>D113-C113</f>
        <v>2241296.1224788539</v>
      </c>
      <c r="F113" s="449">
        <f>IF(C113=0,0,E113/C113)</f>
        <v>1.4273473588214161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39100309</v>
      </c>
      <c r="D118" s="448">
        <v>41698751</v>
      </c>
      <c r="E118" s="448">
        <f t="shared" ref="E118:E130" si="12">D118-C118</f>
        <v>2598442</v>
      </c>
      <c r="F118" s="449">
        <f t="shared" ref="F118:F130" si="13">IF(C118=0,0,E118/C118)</f>
        <v>6.6455791947833451E-2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11717559</v>
      </c>
      <c r="D119" s="448">
        <v>12041319</v>
      </c>
      <c r="E119" s="448">
        <f t="shared" si="12"/>
        <v>323760</v>
      </c>
      <c r="F119" s="449">
        <f t="shared" si="13"/>
        <v>2.7630328125508051E-2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0.29967944754605391</v>
      </c>
      <c r="D120" s="453">
        <f>IF(LN_ID1=0,0,LN_1D2/LN_ID1)</f>
        <v>0.28876929671106938</v>
      </c>
      <c r="E120" s="454">
        <f t="shared" si="12"/>
        <v>-1.0910150834984533E-2</v>
      </c>
      <c r="F120" s="449">
        <f t="shared" si="13"/>
        <v>-3.6406069633146569E-2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2341</v>
      </c>
      <c r="D121" s="456">
        <v>2282</v>
      </c>
      <c r="E121" s="456">
        <f t="shared" si="12"/>
        <v>-59</v>
      </c>
      <c r="F121" s="449">
        <f t="shared" si="13"/>
        <v>-2.5202904741563434E-2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1.0599000000000001</v>
      </c>
      <c r="D122" s="459">
        <v>1.0405</v>
      </c>
      <c r="E122" s="460">
        <f t="shared" si="12"/>
        <v>-1.9400000000000084E-2</v>
      </c>
      <c r="F122" s="449">
        <f t="shared" si="13"/>
        <v>-1.8303613548448044E-2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2481.2259000000004</v>
      </c>
      <c r="D123" s="463">
        <f>LN_ID4*LN_ID5</f>
        <v>2374.4209999999998</v>
      </c>
      <c r="E123" s="463">
        <f t="shared" si="12"/>
        <v>-106.80490000000054</v>
      </c>
      <c r="F123" s="449">
        <f t="shared" si="13"/>
        <v>-4.3045214061323687E-2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4722.4877831558979</v>
      </c>
      <c r="D124" s="465">
        <f>IF(LN_ID6=0,0,LN_1D2/LN_ID6)</f>
        <v>5071.2653737479586</v>
      </c>
      <c r="E124" s="465">
        <f t="shared" si="12"/>
        <v>348.77759059206073</v>
      </c>
      <c r="F124" s="449">
        <f t="shared" si="13"/>
        <v>7.3854630569098703E-2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6880.5095666431071</v>
      </c>
      <c r="D125" s="465">
        <f>LN_IB7-LN_ID7</f>
        <v>7069.7783497374339</v>
      </c>
      <c r="E125" s="465">
        <f t="shared" si="12"/>
        <v>189.26878309432686</v>
      </c>
      <c r="F125" s="449">
        <f t="shared" si="13"/>
        <v>2.7507960167936826E-2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2549.2173157940579</v>
      </c>
      <c r="D126" s="465">
        <f>LN_IA7-LN_ID7</f>
        <v>3469.0803869111214</v>
      </c>
      <c r="E126" s="465">
        <f t="shared" si="12"/>
        <v>919.86307111706355</v>
      </c>
      <c r="F126" s="449">
        <f t="shared" si="13"/>
        <v>0.36084137096430108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6325184.0286766961</v>
      </c>
      <c r="D127" s="479">
        <f>LN_ID9*LN_ID6</f>
        <v>8237057.3213698911</v>
      </c>
      <c r="E127" s="479">
        <f t="shared" si="12"/>
        <v>1911873.2926931949</v>
      </c>
      <c r="F127" s="449">
        <f t="shared" si="13"/>
        <v>0.30226366284763762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9062</v>
      </c>
      <c r="D128" s="456">
        <v>9668</v>
      </c>
      <c r="E128" s="456">
        <f t="shared" si="12"/>
        <v>606</v>
      </c>
      <c r="F128" s="449">
        <f t="shared" si="13"/>
        <v>6.6872655043036855E-2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1293.0433679099538</v>
      </c>
      <c r="D129" s="465">
        <f>IF(LN_ID11=0,0,LN_1D2/LN_ID11)</f>
        <v>1245.4818990484071</v>
      </c>
      <c r="E129" s="465">
        <f t="shared" si="12"/>
        <v>-47.5614688615467</v>
      </c>
      <c r="F129" s="449">
        <f t="shared" si="13"/>
        <v>-3.6782578250584119E-2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3.8709953011533531</v>
      </c>
      <c r="D130" s="466">
        <f>IF(LN_ID4=0,0,LN_ID11/LN_ID4)</f>
        <v>4.2366345311130589</v>
      </c>
      <c r="E130" s="466">
        <f t="shared" si="12"/>
        <v>0.36563922995970577</v>
      </c>
      <c r="F130" s="449">
        <f t="shared" si="13"/>
        <v>9.4456128595858668E-2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83926391</v>
      </c>
      <c r="D133" s="448">
        <v>100205817</v>
      </c>
      <c r="E133" s="448">
        <f t="shared" ref="E133:E141" si="14">D133-C133</f>
        <v>16279426</v>
      </c>
      <c r="F133" s="449">
        <f t="shared" ref="F133:F141" si="15">IF(C133=0,0,E133/C133)</f>
        <v>0.19397266826355014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19514011</v>
      </c>
      <c r="D134" s="448">
        <v>23382850</v>
      </c>
      <c r="E134" s="448">
        <f t="shared" si="14"/>
        <v>3868839</v>
      </c>
      <c r="F134" s="449">
        <f t="shared" si="15"/>
        <v>0.19825954797299233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0.23251340570572135</v>
      </c>
      <c r="D135" s="453">
        <f>IF(LN_ID14=0,0,LN_ID15/LN_ID14)</f>
        <v>0.2333482296741316</v>
      </c>
      <c r="E135" s="454">
        <f t="shared" si="14"/>
        <v>8.3482396841025319E-4</v>
      </c>
      <c r="F135" s="449">
        <f t="shared" si="15"/>
        <v>3.5904337037101471E-3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2.1464380498885571</v>
      </c>
      <c r="D136" s="453">
        <f>IF(LN_ID1=0,0,LN_ID14/LN_ID1)</f>
        <v>2.4030891716636789</v>
      </c>
      <c r="E136" s="454">
        <f t="shared" si="14"/>
        <v>0.25665112177512173</v>
      </c>
      <c r="F136" s="449">
        <f t="shared" si="15"/>
        <v>0.11957071008336208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5024.8114747891123</v>
      </c>
      <c r="D137" s="463">
        <f>LN_ID17*LN_ID4</f>
        <v>5483.8494897365154</v>
      </c>
      <c r="E137" s="463">
        <f t="shared" si="14"/>
        <v>459.0380149474031</v>
      </c>
      <c r="F137" s="449">
        <f t="shared" si="15"/>
        <v>9.1354276125686612E-2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3883.5309738300161</v>
      </c>
      <c r="D138" s="465">
        <f>IF(LN_ID18=0,0,LN_ID15/LN_ID18)</f>
        <v>4263.9481706715269</v>
      </c>
      <c r="E138" s="465">
        <f t="shared" si="14"/>
        <v>380.41719684151076</v>
      </c>
      <c r="F138" s="449">
        <f t="shared" si="15"/>
        <v>9.7956524463183481E-2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7203.0911030607895</v>
      </c>
      <c r="D139" s="465">
        <f>LN_IB18-LN_ID19</f>
        <v>7646.267791633165</v>
      </c>
      <c r="E139" s="465">
        <f t="shared" si="14"/>
        <v>443.1766885723755</v>
      </c>
      <c r="F139" s="449">
        <f t="shared" si="15"/>
        <v>6.1525903564381916E-2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2127.4211041626399</v>
      </c>
      <c r="D140" s="465">
        <f>LN_IA16-LN_ID19</f>
        <v>2551.1482726300119</v>
      </c>
      <c r="E140" s="465">
        <f t="shared" si="14"/>
        <v>423.72716846737194</v>
      </c>
      <c r="F140" s="449">
        <f t="shared" si="15"/>
        <v>0.19917409281983803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10689889.975904956</v>
      </c>
      <c r="D141" s="441">
        <f>LN_ID21*LN_ID18</f>
        <v>13990113.153104283</v>
      </c>
      <c r="E141" s="441">
        <f t="shared" si="14"/>
        <v>3300223.1771993265</v>
      </c>
      <c r="F141" s="449">
        <f t="shared" si="15"/>
        <v>0.30872377401807122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123026700</v>
      </c>
      <c r="D144" s="448">
        <f>LN_ID1+LN_ID14</f>
        <v>141904568</v>
      </c>
      <c r="E144" s="448">
        <f>D144-C144</f>
        <v>18877868</v>
      </c>
      <c r="F144" s="449">
        <f>IF(C144=0,0,E144/C144)</f>
        <v>0.15344529276978086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31231570</v>
      </c>
      <c r="D145" s="448">
        <f>LN_1D2+LN_ID15</f>
        <v>35424169</v>
      </c>
      <c r="E145" s="448">
        <f>D145-C145</f>
        <v>4192599</v>
      </c>
      <c r="F145" s="449">
        <f>IF(C145=0,0,E145/C145)</f>
        <v>0.1342423387617081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91795130</v>
      </c>
      <c r="D146" s="448">
        <f>LN_ID23-LN_ID24</f>
        <v>106480399</v>
      </c>
      <c r="E146" s="448">
        <f>D146-C146</f>
        <v>14685269</v>
      </c>
      <c r="F146" s="449">
        <f>IF(C146=0,0,E146/C146)</f>
        <v>0.15997873743411006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17015074.004581653</v>
      </c>
      <c r="D148" s="448">
        <f>LN_ID10+LN_ID22</f>
        <v>22227170.474474173</v>
      </c>
      <c r="E148" s="448">
        <f>D148-C148</f>
        <v>5212096.4698925205</v>
      </c>
      <c r="F148" s="503">
        <f>IF(C148=0,0,E148/C148)</f>
        <v>0.30632229213279111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1010833</v>
      </c>
      <c r="D153" s="448">
        <v>1875059</v>
      </c>
      <c r="E153" s="448">
        <f t="shared" ref="E153:E165" si="16">D153-C153</f>
        <v>864226</v>
      </c>
      <c r="F153" s="449">
        <f t="shared" ref="F153:F165" si="17">IF(C153=0,0,E153/C153)</f>
        <v>0.85496417311267048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320644</v>
      </c>
      <c r="D154" s="448">
        <v>1081767</v>
      </c>
      <c r="E154" s="448">
        <f t="shared" si="16"/>
        <v>761123</v>
      </c>
      <c r="F154" s="449">
        <f t="shared" si="17"/>
        <v>2.3737322388692754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0.31720768910393704</v>
      </c>
      <c r="D155" s="453">
        <f>IF(LN_IE1=0,0,LN_IE2/LN_IE1)</f>
        <v>0.57692424611705551</v>
      </c>
      <c r="E155" s="454">
        <f t="shared" si="16"/>
        <v>0.25971655701311847</v>
      </c>
      <c r="F155" s="449">
        <f t="shared" si="17"/>
        <v>0.81875870583962773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68</v>
      </c>
      <c r="D156" s="506">
        <v>64</v>
      </c>
      <c r="E156" s="506">
        <f t="shared" si="16"/>
        <v>-4</v>
      </c>
      <c r="F156" s="449">
        <f t="shared" si="17"/>
        <v>-5.8823529411764705E-2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0.90539999999999998</v>
      </c>
      <c r="D157" s="459">
        <v>1.3767</v>
      </c>
      <c r="E157" s="460">
        <f t="shared" si="16"/>
        <v>0.47130000000000005</v>
      </c>
      <c r="F157" s="449">
        <f t="shared" si="17"/>
        <v>0.52054340622929096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61.5672</v>
      </c>
      <c r="D158" s="463">
        <f>LN_IE4*LN_IE5</f>
        <v>88.108800000000002</v>
      </c>
      <c r="E158" s="463">
        <f t="shared" si="16"/>
        <v>26.541600000000003</v>
      </c>
      <c r="F158" s="449">
        <f t="shared" si="17"/>
        <v>0.43109967645109737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5208.0328486596763</v>
      </c>
      <c r="D159" s="465">
        <f>IF(LN_IE6=0,0,LN_IE2/LN_IE6)</f>
        <v>12277.627206363042</v>
      </c>
      <c r="E159" s="465">
        <f t="shared" si="16"/>
        <v>7069.5943577033659</v>
      </c>
      <c r="F159" s="449">
        <f t="shared" si="17"/>
        <v>1.3574404315677033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6394.9645011393286</v>
      </c>
      <c r="D160" s="465">
        <f>LN_IB7-LN_IE7</f>
        <v>-136.58348287764966</v>
      </c>
      <c r="E160" s="465">
        <f t="shared" si="16"/>
        <v>-6531.5479840169783</v>
      </c>
      <c r="F160" s="449">
        <f t="shared" si="17"/>
        <v>-1.0213579735827019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2063.6722502902794</v>
      </c>
      <c r="D161" s="465">
        <f>LN_IA7-LN_IE7</f>
        <v>-3737.2814457039622</v>
      </c>
      <c r="E161" s="465">
        <f t="shared" si="16"/>
        <v>-5800.9536959942416</v>
      </c>
      <c r="F161" s="449">
        <f t="shared" si="17"/>
        <v>-2.8109859475884651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127054.52216807169</v>
      </c>
      <c r="D162" s="479">
        <f>LN_IE9*LN_IE6</f>
        <v>-329287.3834432413</v>
      </c>
      <c r="E162" s="479">
        <f t="shared" si="16"/>
        <v>-456341.90561131301</v>
      </c>
      <c r="F162" s="449">
        <f t="shared" si="17"/>
        <v>-3.5917014036513368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240</v>
      </c>
      <c r="D163" s="456">
        <v>312</v>
      </c>
      <c r="E163" s="506">
        <f t="shared" si="16"/>
        <v>72</v>
      </c>
      <c r="F163" s="449">
        <f t="shared" si="17"/>
        <v>0.3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1336.0166666666667</v>
      </c>
      <c r="D164" s="465">
        <f>IF(LN_IE11=0,0,LN_IE2/LN_IE11)</f>
        <v>3467.2019230769229</v>
      </c>
      <c r="E164" s="465">
        <f t="shared" si="16"/>
        <v>2131.1852564102564</v>
      </c>
      <c r="F164" s="449">
        <f t="shared" si="17"/>
        <v>1.5951786452840582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3.5294117647058822</v>
      </c>
      <c r="D165" s="466">
        <f>IF(LN_IE4=0,0,LN_IE11/LN_IE4)</f>
        <v>4.875</v>
      </c>
      <c r="E165" s="466">
        <f t="shared" si="16"/>
        <v>1.3455882352941178</v>
      </c>
      <c r="F165" s="449">
        <f t="shared" si="17"/>
        <v>0.38125000000000003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1975207</v>
      </c>
      <c r="D168" s="511">
        <v>2194550</v>
      </c>
      <c r="E168" s="511">
        <f t="shared" ref="E168:E176" si="18">D168-C168</f>
        <v>219343</v>
      </c>
      <c r="F168" s="449">
        <f t="shared" ref="F168:F176" si="19">IF(C168=0,0,E168/C168)</f>
        <v>0.11104810786920054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503879</v>
      </c>
      <c r="D169" s="511">
        <v>386402</v>
      </c>
      <c r="E169" s="511">
        <f t="shared" si="18"/>
        <v>-117477</v>
      </c>
      <c r="F169" s="449">
        <f t="shared" si="19"/>
        <v>-0.23314525908005693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0.25510187033561543</v>
      </c>
      <c r="D170" s="453">
        <f>IF(LN_IE14=0,0,LN_IE15/LN_IE14)</f>
        <v>0.17607345469458432</v>
      </c>
      <c r="E170" s="454">
        <f t="shared" si="18"/>
        <v>-7.9028415641031108E-2</v>
      </c>
      <c r="F170" s="449">
        <f t="shared" si="19"/>
        <v>-0.30979159634172915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1.9540388966327771</v>
      </c>
      <c r="D171" s="453">
        <f>IF(LN_IE1=0,0,LN_IE14/LN_IE1)</f>
        <v>1.1703898383997517</v>
      </c>
      <c r="E171" s="454">
        <f t="shared" si="18"/>
        <v>-0.78364905823302533</v>
      </c>
      <c r="F171" s="449">
        <f t="shared" si="19"/>
        <v>-0.40104066484214757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132.87464497102883</v>
      </c>
      <c r="D172" s="463">
        <f>LN_IE17*LN_IE4</f>
        <v>74.904949657584112</v>
      </c>
      <c r="E172" s="463">
        <f t="shared" si="18"/>
        <v>-57.969695313444717</v>
      </c>
      <c r="F172" s="449">
        <f t="shared" si="19"/>
        <v>-0.43627356691025643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3792.1380720141356</v>
      </c>
      <c r="D173" s="465">
        <f>IF(LN_IE18=0,0,LN_IE15/LN_IE18)</f>
        <v>5158.5643107214464</v>
      </c>
      <c r="E173" s="465">
        <f t="shared" si="18"/>
        <v>1366.4262387073109</v>
      </c>
      <c r="F173" s="449">
        <f t="shared" si="19"/>
        <v>0.3603313520653415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7294.484004876671</v>
      </c>
      <c r="D174" s="465">
        <f>LN_IB18-LN_IE19</f>
        <v>6751.6516515832454</v>
      </c>
      <c r="E174" s="465">
        <f t="shared" si="18"/>
        <v>-542.83235329342551</v>
      </c>
      <c r="F174" s="449">
        <f t="shared" si="19"/>
        <v>-7.441682686952486E-2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2218.8140059785205</v>
      </c>
      <c r="D175" s="465">
        <f>LN_IA16-LN_IE19</f>
        <v>1656.5321325800924</v>
      </c>
      <c r="E175" s="465">
        <f t="shared" si="18"/>
        <v>-562.28187339842816</v>
      </c>
      <c r="F175" s="449">
        <f t="shared" si="19"/>
        <v>-0.25341550570862559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294824.12330114213</v>
      </c>
      <c r="D176" s="441">
        <f>LN_IE21*LN_IE18</f>
        <v>124082.45599708227</v>
      </c>
      <c r="E176" s="441">
        <f t="shared" si="18"/>
        <v>-170741.66730405984</v>
      </c>
      <c r="F176" s="449">
        <f t="shared" si="19"/>
        <v>-0.57913058603301337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2986040</v>
      </c>
      <c r="D179" s="448">
        <f>LN_IE1+LN_IE14</f>
        <v>4069609</v>
      </c>
      <c r="E179" s="448">
        <f>D179-C179</f>
        <v>1083569</v>
      </c>
      <c r="F179" s="449">
        <f>IF(C179=0,0,E179/C179)</f>
        <v>0.36287826017066083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824523</v>
      </c>
      <c r="D180" s="448">
        <f>LN_IE15+LN_IE2</f>
        <v>1468169</v>
      </c>
      <c r="E180" s="448">
        <f>D180-C180</f>
        <v>643646</v>
      </c>
      <c r="F180" s="449">
        <f>IF(C180=0,0,E180/C180)</f>
        <v>0.78062831479534223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2161517</v>
      </c>
      <c r="D181" s="448">
        <f>LN_IE23-LN_IE24</f>
        <v>2601440</v>
      </c>
      <c r="E181" s="448">
        <f>D181-C181</f>
        <v>439923</v>
      </c>
      <c r="F181" s="449">
        <f>IF(C181=0,0,E181/C181)</f>
        <v>0.20352511685080432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421878.64546921384</v>
      </c>
      <c r="D183" s="448">
        <f>LN_IE10+LN_IE22</f>
        <v>-205204.92744615901</v>
      </c>
      <c r="E183" s="441">
        <f>D183-C183</f>
        <v>-627083.5729153729</v>
      </c>
      <c r="F183" s="449">
        <f>IF(C183=0,0,E183/C183)</f>
        <v>-1.4864074767707902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40111142</v>
      </c>
      <c r="D188" s="448">
        <f>LN_ID1+LN_IE1</f>
        <v>43573810</v>
      </c>
      <c r="E188" s="448">
        <f t="shared" ref="E188:E200" si="20">D188-C188</f>
        <v>3462668</v>
      </c>
      <c r="F188" s="449">
        <f t="shared" ref="F188:F200" si="21">IF(C188=0,0,E188/C188)</f>
        <v>8.6326836568253282E-2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12038203</v>
      </c>
      <c r="D189" s="448">
        <f>LN_1D2+LN_IE2</f>
        <v>13123086</v>
      </c>
      <c r="E189" s="448">
        <f t="shared" si="20"/>
        <v>1084883</v>
      </c>
      <c r="F189" s="449">
        <f t="shared" si="21"/>
        <v>9.0120012098151195E-2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0.30012117331388871</v>
      </c>
      <c r="D190" s="453">
        <f>IF(LN_IF1=0,0,LN_IF2/LN_IF1)</f>
        <v>0.3011691197074573</v>
      </c>
      <c r="E190" s="454">
        <f t="shared" si="20"/>
        <v>1.0479463935685884E-3</v>
      </c>
      <c r="F190" s="449">
        <f t="shared" si="21"/>
        <v>3.4917442911385974E-3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2409</v>
      </c>
      <c r="D191" s="456">
        <f>LN_ID4+LN_IE4</f>
        <v>2346</v>
      </c>
      <c r="E191" s="456">
        <f t="shared" si="20"/>
        <v>-63</v>
      </c>
      <c r="F191" s="449">
        <f t="shared" si="21"/>
        <v>-2.6151930261519303E-2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1.0555388542963886</v>
      </c>
      <c r="D192" s="459">
        <f>IF((LN_ID4+LN_IE4)=0,0,(LN_ID6+LN_IE6)/(LN_ID4+LN_IE4))</f>
        <v>1.0496716965046888</v>
      </c>
      <c r="E192" s="460">
        <f t="shared" si="20"/>
        <v>-5.867157791699773E-3</v>
      </c>
      <c r="F192" s="449">
        <f t="shared" si="21"/>
        <v>-5.5584479603176338E-3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2542.7931000000003</v>
      </c>
      <c r="D193" s="463">
        <f>LN_IF4*LN_IF5</f>
        <v>2462.5297999999998</v>
      </c>
      <c r="E193" s="463">
        <f t="shared" si="20"/>
        <v>-80.263300000000527</v>
      </c>
      <c r="F193" s="449">
        <f t="shared" si="21"/>
        <v>-3.1565014078416574E-2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4734.2440090780483</v>
      </c>
      <c r="D194" s="465">
        <f>IF(LN_IF6=0,0,LN_IF2/LN_IF6)</f>
        <v>5329.1074893794184</v>
      </c>
      <c r="E194" s="465">
        <f t="shared" si="20"/>
        <v>594.86348030137015</v>
      </c>
      <c r="F194" s="449">
        <f t="shared" si="21"/>
        <v>0.1256512083366853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6868.7533407209567</v>
      </c>
      <c r="D195" s="465">
        <f>LN_IB7-LN_IF7</f>
        <v>6811.9362341059741</v>
      </c>
      <c r="E195" s="465">
        <f t="shared" si="20"/>
        <v>-56.817106614982549</v>
      </c>
      <c r="F195" s="449">
        <f t="shared" si="21"/>
        <v>-8.2718222356517063E-3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2537.4610898719075</v>
      </c>
      <c r="D196" s="465">
        <f>LN_IA7-LN_IF7</f>
        <v>3211.2382712796616</v>
      </c>
      <c r="E196" s="465">
        <f t="shared" si="20"/>
        <v>673.77718140775414</v>
      </c>
      <c r="F196" s="449">
        <f t="shared" si="21"/>
        <v>0.26553202494299799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6452238.5508447681</v>
      </c>
      <c r="D197" s="479">
        <f>LN_IF9*LN_IF6</f>
        <v>7907769.93792665</v>
      </c>
      <c r="E197" s="479">
        <f t="shared" si="20"/>
        <v>1455531.387081882</v>
      </c>
      <c r="F197" s="449">
        <f t="shared" si="21"/>
        <v>0.22558548875898499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9302</v>
      </c>
      <c r="D198" s="456">
        <f>LN_ID11+LN_IE11</f>
        <v>9980</v>
      </c>
      <c r="E198" s="456">
        <f t="shared" si="20"/>
        <v>678</v>
      </c>
      <c r="F198" s="449">
        <f t="shared" si="21"/>
        <v>7.2887551064287251E-2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1294.1521178241239</v>
      </c>
      <c r="D199" s="519">
        <f>IF(LN_IF11=0,0,LN_IF2/LN_IF11)</f>
        <v>1314.9384769539079</v>
      </c>
      <c r="E199" s="519">
        <f t="shared" si="20"/>
        <v>20.786359129783932</v>
      </c>
      <c r="F199" s="449">
        <f t="shared" si="21"/>
        <v>1.6061758771242694E-2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3.8613532586135326</v>
      </c>
      <c r="D200" s="466">
        <f>IF(LN_IF4=0,0,LN_IF11/LN_IF4)</f>
        <v>4.2540494458653022</v>
      </c>
      <c r="E200" s="466">
        <f t="shared" si="20"/>
        <v>0.39269618725176958</v>
      </c>
      <c r="F200" s="449">
        <f t="shared" si="21"/>
        <v>0.10169910934094957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85901598</v>
      </c>
      <c r="D203" s="448">
        <f>LN_ID14+LN_IE14</f>
        <v>102400367</v>
      </c>
      <c r="E203" s="448">
        <f t="shared" ref="E203:E211" si="22">D203-C203</f>
        <v>16498769</v>
      </c>
      <c r="F203" s="449">
        <f t="shared" ref="F203:F211" si="23">IF(C203=0,0,E203/C203)</f>
        <v>0.19206591476912921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20017890</v>
      </c>
      <c r="D204" s="448">
        <f>LN_ID15+LN_IE15</f>
        <v>23769252</v>
      </c>
      <c r="E204" s="448">
        <f t="shared" si="22"/>
        <v>3751362</v>
      </c>
      <c r="F204" s="449">
        <f t="shared" si="23"/>
        <v>0.18740047027933512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0.23303280108945121</v>
      </c>
      <c r="D205" s="453">
        <f>IF(LN_IF14=0,0,LN_IF15/LN_IF14)</f>
        <v>0.23212076964528847</v>
      </c>
      <c r="E205" s="454">
        <f t="shared" si="22"/>
        <v>-9.1203144416274196E-4</v>
      </c>
      <c r="F205" s="449">
        <f t="shared" si="23"/>
        <v>-3.9137470772307821E-3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2.1415894366707384</v>
      </c>
      <c r="D206" s="453">
        <f>IF(LN_IF1=0,0,LN_IF14/LN_IF1)</f>
        <v>2.3500439139932907</v>
      </c>
      <c r="E206" s="454">
        <f t="shared" si="22"/>
        <v>0.20845447732255229</v>
      </c>
      <c r="F206" s="449">
        <f t="shared" si="23"/>
        <v>9.7336339894639384E-2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5157.6861197601411</v>
      </c>
      <c r="D207" s="463">
        <f>LN_ID18+LN_IE18</f>
        <v>5558.7544393940998</v>
      </c>
      <c r="E207" s="463">
        <f t="shared" si="22"/>
        <v>401.06831963395871</v>
      </c>
      <c r="F207" s="449">
        <f t="shared" si="23"/>
        <v>7.7761288748724872E-2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3881.1764685150974</v>
      </c>
      <c r="D208" s="465">
        <f>IF(LN_IF18=0,0,LN_IF15/LN_IF18)</f>
        <v>4276.0032412208575</v>
      </c>
      <c r="E208" s="465">
        <f t="shared" si="22"/>
        <v>394.82677270576005</v>
      </c>
      <c r="F208" s="449">
        <f t="shared" si="23"/>
        <v>0.10172863200338252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7205.4456083757086</v>
      </c>
      <c r="D209" s="465">
        <f>LN_IB18-LN_IF19</f>
        <v>7634.2127210838344</v>
      </c>
      <c r="E209" s="465">
        <f t="shared" si="22"/>
        <v>428.76711270812575</v>
      </c>
      <c r="F209" s="449">
        <f t="shared" si="23"/>
        <v>5.9505981449602646E-2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2129.7756094775586</v>
      </c>
      <c r="D210" s="465">
        <f>LN_IA16-LN_IF19</f>
        <v>2539.0932020806813</v>
      </c>
      <c r="E210" s="465">
        <f t="shared" si="22"/>
        <v>409.31759260312265</v>
      </c>
      <c r="F210" s="449">
        <f t="shared" si="23"/>
        <v>0.19218813042165023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10984714.099206099</v>
      </c>
      <c r="D211" s="441">
        <f>LN_IF21*LN_IF18</f>
        <v>14114195.609101368</v>
      </c>
      <c r="E211" s="441">
        <f t="shared" si="22"/>
        <v>3129481.5098952688</v>
      </c>
      <c r="F211" s="449">
        <f t="shared" si="23"/>
        <v>0.28489421587417069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126012740</v>
      </c>
      <c r="D214" s="448">
        <f>LN_IF1+LN_IF14</f>
        <v>145974177</v>
      </c>
      <c r="E214" s="448">
        <f>D214-C214</f>
        <v>19961437</v>
      </c>
      <c r="F214" s="449">
        <f>IF(C214=0,0,E214/C214)</f>
        <v>0.15840808635698264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32056093</v>
      </c>
      <c r="D215" s="448">
        <f>LN_IF2+LN_IF15</f>
        <v>36892338</v>
      </c>
      <c r="E215" s="448">
        <f>D215-C215</f>
        <v>4836245</v>
      </c>
      <c r="F215" s="449">
        <f>IF(C215=0,0,E215/C215)</f>
        <v>0.15086819844202473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93956647</v>
      </c>
      <c r="D216" s="448">
        <f>LN_IF23-LN_IF24</f>
        <v>109081839</v>
      </c>
      <c r="E216" s="448">
        <f>D216-C216</f>
        <v>15125192</v>
      </c>
      <c r="F216" s="449">
        <f>IF(C216=0,0,E216/C216)</f>
        <v>0.16098054244102603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2360285</v>
      </c>
      <c r="D221" s="448">
        <v>2915085</v>
      </c>
      <c r="E221" s="448">
        <f t="shared" ref="E221:E230" si="24">D221-C221</f>
        <v>554800</v>
      </c>
      <c r="F221" s="449">
        <f t="shared" ref="F221:F230" si="25">IF(C221=0,0,E221/C221)</f>
        <v>0.23505635971927119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914334</v>
      </c>
      <c r="D222" s="448">
        <v>1084152</v>
      </c>
      <c r="E222" s="448">
        <f t="shared" si="24"/>
        <v>169818</v>
      </c>
      <c r="F222" s="449">
        <f t="shared" si="25"/>
        <v>0.18572862870679643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0.38738287960987761</v>
      </c>
      <c r="D223" s="453">
        <f>IF(LN_IG1=0,0,LN_IG2/LN_IG1)</f>
        <v>0.37191093913213508</v>
      </c>
      <c r="E223" s="454">
        <f t="shared" si="24"/>
        <v>-1.547194047774253E-2</v>
      </c>
      <c r="F223" s="449">
        <f t="shared" si="25"/>
        <v>-3.9939659938828184E-2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189</v>
      </c>
      <c r="D224" s="456">
        <v>217</v>
      </c>
      <c r="E224" s="456">
        <f t="shared" si="24"/>
        <v>28</v>
      </c>
      <c r="F224" s="449">
        <f t="shared" si="25"/>
        <v>0.14814814814814814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0.7319</v>
      </c>
      <c r="D225" s="459">
        <v>0.72919999999999996</v>
      </c>
      <c r="E225" s="460">
        <f t="shared" si="24"/>
        <v>-2.7000000000000357E-3</v>
      </c>
      <c r="F225" s="449">
        <f t="shared" si="25"/>
        <v>-3.6890285558136846E-3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138.32910000000001</v>
      </c>
      <c r="D226" s="463">
        <f>LN_IG3*LN_IG4</f>
        <v>158.2364</v>
      </c>
      <c r="E226" s="463">
        <f t="shared" si="24"/>
        <v>19.907299999999992</v>
      </c>
      <c r="F226" s="449">
        <f t="shared" si="25"/>
        <v>0.14391259684332502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6609.8456506982257</v>
      </c>
      <c r="D227" s="465">
        <f>IF(LN_IG5=0,0,LN_IG2/LN_IG5)</f>
        <v>6851.4703317315107</v>
      </c>
      <c r="E227" s="465">
        <f t="shared" si="24"/>
        <v>241.62468103328501</v>
      </c>
      <c r="F227" s="449">
        <f t="shared" si="25"/>
        <v>3.6555268277370621E-2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494</v>
      </c>
      <c r="D228" s="456">
        <v>586</v>
      </c>
      <c r="E228" s="456">
        <f t="shared" si="24"/>
        <v>92</v>
      </c>
      <c r="F228" s="449">
        <f t="shared" si="25"/>
        <v>0.18623481781376519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1850.8785425101214</v>
      </c>
      <c r="D229" s="465">
        <f>IF(LN_IG6=0,0,LN_IG2/LN_IG6)</f>
        <v>1850.0887372013651</v>
      </c>
      <c r="E229" s="465">
        <f t="shared" si="24"/>
        <v>-0.78980530875628574</v>
      </c>
      <c r="F229" s="449">
        <f t="shared" si="25"/>
        <v>-4.2671914478254684E-4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2.6137566137566139</v>
      </c>
      <c r="D230" s="466">
        <f>IF(LN_IG3=0,0,LN_IG6/LN_IG3)</f>
        <v>2.7004608294930876</v>
      </c>
      <c r="E230" s="466">
        <f t="shared" si="24"/>
        <v>8.6704215736473689E-2</v>
      </c>
      <c r="F230" s="449">
        <f t="shared" si="25"/>
        <v>3.3172260676505111E-2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7118154</v>
      </c>
      <c r="D233" s="448">
        <v>8163938</v>
      </c>
      <c r="E233" s="448">
        <f>D233-C233</f>
        <v>1045784</v>
      </c>
      <c r="F233" s="449">
        <f>IF(C233=0,0,E233/C233)</f>
        <v>0.14691786662665629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1776013</v>
      </c>
      <c r="D234" s="448">
        <v>2105944</v>
      </c>
      <c r="E234" s="448">
        <f>D234-C234</f>
        <v>329931</v>
      </c>
      <c r="F234" s="449">
        <f>IF(C234=0,0,E234/C234)</f>
        <v>0.18577059965214218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9478439</v>
      </c>
      <c r="D237" s="448">
        <f>LN_IG1+LN_IG9</f>
        <v>11079023</v>
      </c>
      <c r="E237" s="448">
        <f>D237-C237</f>
        <v>1600584</v>
      </c>
      <c r="F237" s="449">
        <f>IF(C237=0,0,E237/C237)</f>
        <v>0.16886578053622542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2690347</v>
      </c>
      <c r="D238" s="448">
        <f>LN_IG2+LN_IG10</f>
        <v>3190096</v>
      </c>
      <c r="E238" s="448">
        <f>D238-C238</f>
        <v>499749</v>
      </c>
      <c r="F238" s="449">
        <f>IF(C238=0,0,E238/C238)</f>
        <v>0.1857563355210313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6788092</v>
      </c>
      <c r="D239" s="448">
        <f>LN_IG13-LN_IG14</f>
        <v>7888927</v>
      </c>
      <c r="E239" s="448">
        <f>D239-C239</f>
        <v>1100835</v>
      </c>
      <c r="F239" s="449">
        <f>IF(C239=0,0,E239/C239)</f>
        <v>0.16217149089906266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7202302</v>
      </c>
      <c r="D243" s="448">
        <v>7047373</v>
      </c>
      <c r="E243" s="441">
        <f>D243-C243</f>
        <v>-154929</v>
      </c>
      <c r="F243" s="503">
        <f>IF(C243=0,0,E243/C243)</f>
        <v>-2.1511039109440286E-2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249935251</v>
      </c>
      <c r="D244" s="448">
        <v>252028161</v>
      </c>
      <c r="E244" s="441">
        <f>D244-C244</f>
        <v>2092910</v>
      </c>
      <c r="F244" s="503">
        <f>IF(C244=0,0,E244/C244)</f>
        <v>8.3738087829795561E-3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5518573</v>
      </c>
      <c r="D248" s="441">
        <v>5111796</v>
      </c>
      <c r="E248" s="441">
        <f>D248-C248</f>
        <v>-406777</v>
      </c>
      <c r="F248" s="449">
        <f>IF(C248=0,0,E248/C248)</f>
        <v>-7.3710540750299036E-2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8822403</v>
      </c>
      <c r="D249" s="441">
        <v>8128981</v>
      </c>
      <c r="E249" s="441">
        <f>D249-C249</f>
        <v>-693422</v>
      </c>
      <c r="F249" s="449">
        <f>IF(C249=0,0,E249/C249)</f>
        <v>-7.8597860469534209E-2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14340976</v>
      </c>
      <c r="D250" s="441">
        <f>LN_IH4+LN_IH5</f>
        <v>13240777</v>
      </c>
      <c r="E250" s="441">
        <f>D250-C250</f>
        <v>-1100199</v>
      </c>
      <c r="F250" s="449">
        <f>IF(C250=0,0,E250/C250)</f>
        <v>-7.6717163462235768E-2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6061196.6998750819</v>
      </c>
      <c r="D251" s="441">
        <f>LN_IH6*LN_III10</f>
        <v>5624819.2077036956</v>
      </c>
      <c r="E251" s="441">
        <f>D251-C251</f>
        <v>-436377.49217138626</v>
      </c>
      <c r="F251" s="449">
        <f>IF(C251=0,0,E251/C251)</f>
        <v>-7.1995269874739379E-2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126012740</v>
      </c>
      <c r="D254" s="441">
        <f>LN_IF23</f>
        <v>145974177</v>
      </c>
      <c r="E254" s="441">
        <f>D254-C254</f>
        <v>19961437</v>
      </c>
      <c r="F254" s="449">
        <f>IF(C254=0,0,E254/C254)</f>
        <v>0.15840808635698264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32056093</v>
      </c>
      <c r="D255" s="441">
        <f>LN_IF24</f>
        <v>36892338</v>
      </c>
      <c r="E255" s="441">
        <f>D255-C255</f>
        <v>4836245</v>
      </c>
      <c r="F255" s="449">
        <f>IF(C255=0,0,E255/C255)</f>
        <v>0.15086819844202473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53259136.883725122</v>
      </c>
      <c r="D256" s="441">
        <f>LN_IH8*LN_III10</f>
        <v>62011342.281373598</v>
      </c>
      <c r="E256" s="441">
        <f>D256-C256</f>
        <v>8752205.3976484761</v>
      </c>
      <c r="F256" s="449">
        <f>IF(C256=0,0,E256/C256)</f>
        <v>0.16433246781216551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21203043.883725122</v>
      </c>
      <c r="D257" s="441">
        <f>LN_IH10-LN_IH9</f>
        <v>25119004.281373598</v>
      </c>
      <c r="E257" s="441">
        <f>D257-C257</f>
        <v>3915960.3976484761</v>
      </c>
      <c r="F257" s="449">
        <f>IF(C257=0,0,E257/C257)</f>
        <v>0.1846885956150032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243577407</v>
      </c>
      <c r="D261" s="448">
        <f>LN_IA1+LN_IB1+LN_IF1+LN_IG1</f>
        <v>247780251</v>
      </c>
      <c r="E261" s="448">
        <f t="shared" ref="E261:E274" si="26">D261-C261</f>
        <v>4202844</v>
      </c>
      <c r="F261" s="503">
        <f t="shared" ref="F261:F274" si="27">IF(C261=0,0,E261/C261)</f>
        <v>1.7254654492647587E-2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118951326</v>
      </c>
      <c r="D262" s="448">
        <f>+LN_IA2+LN_IB2+LN_IF2+LN_IG2</f>
        <v>124882959</v>
      </c>
      <c r="E262" s="448">
        <f t="shared" si="26"/>
        <v>5931633</v>
      </c>
      <c r="F262" s="503">
        <f t="shared" si="27"/>
        <v>4.9866051934553464E-2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0.48835122873280279</v>
      </c>
      <c r="D263" s="453">
        <f>IF(LN_IIA1=0,0,LN_IIA2/LN_IIA1)</f>
        <v>0.50400691134984765</v>
      </c>
      <c r="E263" s="454">
        <f t="shared" si="26"/>
        <v>1.5655682617044864E-2</v>
      </c>
      <c r="F263" s="458">
        <f t="shared" si="27"/>
        <v>3.2058243526219811E-2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11396</v>
      </c>
      <c r="D264" s="456">
        <f>LN_IA4+LN_IB4+LN_IF4+LN_IG3</f>
        <v>10690</v>
      </c>
      <c r="E264" s="456">
        <f t="shared" si="26"/>
        <v>-706</v>
      </c>
      <c r="F264" s="503">
        <f t="shared" si="27"/>
        <v>-6.195156195156195E-2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1.2815816075816078</v>
      </c>
      <c r="D265" s="525">
        <f>IF(LN_IIA4=0,0,LN_IIA6/LN_IIA4)</f>
        <v>1.2959810009354535</v>
      </c>
      <c r="E265" s="525">
        <f t="shared" si="26"/>
        <v>1.4399393353845769E-2</v>
      </c>
      <c r="F265" s="503">
        <f t="shared" si="27"/>
        <v>1.1235642949821947E-2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14604.904000000002</v>
      </c>
      <c r="D266" s="463">
        <f>LN_IA6+LN_IB6+LN_IF6+LN_IG5</f>
        <v>13854.036899999999</v>
      </c>
      <c r="E266" s="463">
        <f t="shared" si="26"/>
        <v>-750.86710000000312</v>
      </c>
      <c r="F266" s="503">
        <f t="shared" si="27"/>
        <v>-5.1411984632011479E-2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406849933</v>
      </c>
      <c r="D267" s="448">
        <f>LN_IA11+LN_IB13+LN_IF14+LN_IG9</f>
        <v>453925211</v>
      </c>
      <c r="E267" s="448">
        <f t="shared" si="26"/>
        <v>47075278</v>
      </c>
      <c r="F267" s="503">
        <f t="shared" si="27"/>
        <v>0.11570673651800749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1.6703106335309661</v>
      </c>
      <c r="D268" s="453">
        <f>IF(LN_IIA1=0,0,LN_IIA7/LN_IIA1)</f>
        <v>1.831966870515439</v>
      </c>
      <c r="E268" s="454">
        <f t="shared" si="26"/>
        <v>0.16165623698447296</v>
      </c>
      <c r="F268" s="458">
        <f t="shared" si="27"/>
        <v>9.6782139644730938E-2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155951027</v>
      </c>
      <c r="D269" s="448">
        <f>LN_IA12+LN_IB14+LN_IF15+LN_IG10</f>
        <v>173208789</v>
      </c>
      <c r="E269" s="448">
        <f t="shared" si="26"/>
        <v>17257762</v>
      </c>
      <c r="F269" s="503">
        <f t="shared" si="27"/>
        <v>0.1106614193698128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0.38331338990290553</v>
      </c>
      <c r="D270" s="453">
        <f>IF(LN_IIA7=0,0,LN_IIA9/LN_IIA7)</f>
        <v>0.38158001539156633</v>
      </c>
      <c r="E270" s="454">
        <f t="shared" si="26"/>
        <v>-1.733374511339203E-3</v>
      </c>
      <c r="F270" s="458">
        <f t="shared" si="27"/>
        <v>-4.5220818186869809E-3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650427340</v>
      </c>
      <c r="D271" s="441">
        <f>LN_IIA1+LN_IIA7</f>
        <v>701705462</v>
      </c>
      <c r="E271" s="441">
        <f t="shared" si="26"/>
        <v>51278122</v>
      </c>
      <c r="F271" s="503">
        <f t="shared" si="27"/>
        <v>7.883758699319128E-2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274902353</v>
      </c>
      <c r="D272" s="441">
        <f>LN_IIA2+LN_IIA9</f>
        <v>298091748</v>
      </c>
      <c r="E272" s="441">
        <f t="shared" si="26"/>
        <v>23189395</v>
      </c>
      <c r="F272" s="503">
        <f t="shared" si="27"/>
        <v>8.4355025509730716E-2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0.42264882807663035</v>
      </c>
      <c r="D273" s="453">
        <f>IF(LN_IIA11=0,0,LN_IIA12/LN_IIA11)</f>
        <v>0.42481035725499311</v>
      </c>
      <c r="E273" s="454">
        <f t="shared" si="26"/>
        <v>2.1615291783627644E-3</v>
      </c>
      <c r="F273" s="458">
        <f t="shared" si="27"/>
        <v>5.1142438704949115E-3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48465</v>
      </c>
      <c r="D274" s="508">
        <f>LN_IA8+LN_IB10+LN_IF11+LN_IG6</f>
        <v>48840</v>
      </c>
      <c r="E274" s="528">
        <f t="shared" si="26"/>
        <v>375</v>
      </c>
      <c r="F274" s="458">
        <f t="shared" si="27"/>
        <v>7.7375425564840603E-3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173608053</v>
      </c>
      <c r="D277" s="448">
        <f>LN_IA1+LN_IF1+LN_IG1</f>
        <v>181150357</v>
      </c>
      <c r="E277" s="448">
        <f t="shared" ref="E277:E291" si="28">D277-C277</f>
        <v>7542304</v>
      </c>
      <c r="F277" s="503">
        <f t="shared" ref="F277:F291" si="29">IF(C277=0,0,E277/C277)</f>
        <v>4.3444436301581013E-2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67268928</v>
      </c>
      <c r="D278" s="448">
        <f>LN_IA2+LN_IF2+LN_IG2</f>
        <v>75182760</v>
      </c>
      <c r="E278" s="448">
        <f t="shared" si="28"/>
        <v>7913832</v>
      </c>
      <c r="F278" s="503">
        <f t="shared" si="29"/>
        <v>0.11764468730644853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0.38747585055861433</v>
      </c>
      <c r="D279" s="453">
        <f>IF(D277=0,0,LN_IIB2/D277)</f>
        <v>0.41502959886521229</v>
      </c>
      <c r="E279" s="454">
        <f t="shared" si="28"/>
        <v>2.7553748306597958E-2</v>
      </c>
      <c r="F279" s="458">
        <f t="shared" si="29"/>
        <v>7.1110878953809381E-2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7842</v>
      </c>
      <c r="D280" s="456">
        <f>LN_IA4+LN_IF4+LN_IG3</f>
        <v>7469</v>
      </c>
      <c r="E280" s="456">
        <f t="shared" si="28"/>
        <v>-373</v>
      </c>
      <c r="F280" s="503">
        <f t="shared" si="29"/>
        <v>-4.7564396837541441E-2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1.2943988523335885</v>
      </c>
      <c r="D281" s="525">
        <f>IF(LN_IIB4=0,0,LN_IIB6/LN_IIB4)</f>
        <v>1.3067971616012852</v>
      </c>
      <c r="E281" s="525">
        <f t="shared" si="28"/>
        <v>1.2398309267696694E-2</v>
      </c>
      <c r="F281" s="503">
        <f t="shared" si="29"/>
        <v>9.5784303619742706E-3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10150.675800000001</v>
      </c>
      <c r="D282" s="463">
        <f>LN_IA6+LN_IF6+LN_IG5</f>
        <v>9760.4679999999989</v>
      </c>
      <c r="E282" s="463">
        <f t="shared" si="28"/>
        <v>-390.20780000000195</v>
      </c>
      <c r="F282" s="503">
        <f t="shared" si="29"/>
        <v>-3.8441558738384882E-2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224914104</v>
      </c>
      <c r="D283" s="448">
        <f>LN_IA11+LN_IF14+LN_IG9</f>
        <v>264348026</v>
      </c>
      <c r="E283" s="448">
        <f t="shared" si="28"/>
        <v>39433922</v>
      </c>
      <c r="F283" s="503">
        <f t="shared" si="29"/>
        <v>0.17532880908171058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1.2955280594040186</v>
      </c>
      <c r="D284" s="453">
        <f>IF(D277=0,0,LN_IIB7/D277)</f>
        <v>1.4592741100697915</v>
      </c>
      <c r="E284" s="454">
        <f t="shared" si="28"/>
        <v>0.16374605066577286</v>
      </c>
      <c r="F284" s="458">
        <f t="shared" si="29"/>
        <v>0.12639328764604366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53497471</v>
      </c>
      <c r="D285" s="448">
        <f>LN_IA12+LN_IF15+LN_IG10</f>
        <v>64057892</v>
      </c>
      <c r="E285" s="448">
        <f t="shared" si="28"/>
        <v>10560421</v>
      </c>
      <c r="F285" s="503">
        <f t="shared" si="29"/>
        <v>0.19740037804777724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0.23785734219673479</v>
      </c>
      <c r="D286" s="453">
        <f>IF(LN_IIB7=0,0,LN_IIB9/LN_IIB7)</f>
        <v>0.24232407924241509</v>
      </c>
      <c r="E286" s="454">
        <f t="shared" si="28"/>
        <v>4.4667370456802913E-3</v>
      </c>
      <c r="F286" s="458">
        <f t="shared" si="29"/>
        <v>1.8779058928463925E-2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398522157</v>
      </c>
      <c r="D287" s="441">
        <f>D277+LN_IIB7</f>
        <v>445498383</v>
      </c>
      <c r="E287" s="441">
        <f t="shared" si="28"/>
        <v>46976226</v>
      </c>
      <c r="F287" s="503">
        <f t="shared" si="29"/>
        <v>0.11787607081530475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120766399</v>
      </c>
      <c r="D288" s="441">
        <f>LN_IIB2+LN_IIB9</f>
        <v>139240652</v>
      </c>
      <c r="E288" s="441">
        <f t="shared" si="28"/>
        <v>18474253</v>
      </c>
      <c r="F288" s="503">
        <f t="shared" si="29"/>
        <v>0.15297510858131988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0.30303559508235822</v>
      </c>
      <c r="D289" s="453">
        <f>IF(LN_IIB11=0,0,LN_IIB12/LN_IIB11)</f>
        <v>0.31255029718031546</v>
      </c>
      <c r="E289" s="454">
        <f t="shared" si="28"/>
        <v>9.5147020979572394E-3</v>
      </c>
      <c r="F289" s="458">
        <f t="shared" si="29"/>
        <v>3.1397968596300903E-2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36516</v>
      </c>
      <c r="D290" s="508">
        <f>LN_IA8+LN_IF11+LN_IG6</f>
        <v>37172</v>
      </c>
      <c r="E290" s="528">
        <f t="shared" si="28"/>
        <v>656</v>
      </c>
      <c r="F290" s="458">
        <f t="shared" si="29"/>
        <v>1.7964727790557564E-2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277755758</v>
      </c>
      <c r="D291" s="516">
        <f>LN_IIB11-LN_IIB12</f>
        <v>306257731</v>
      </c>
      <c r="E291" s="441">
        <f t="shared" si="28"/>
        <v>28501973</v>
      </c>
      <c r="F291" s="503">
        <f t="shared" si="29"/>
        <v>0.10261523723299375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5.0953470633104496</v>
      </c>
      <c r="D294" s="466">
        <f>IF(LN_IA4=0,0,LN_IA8/LN_IA4)</f>
        <v>5.4231553200163063</v>
      </c>
      <c r="E294" s="466">
        <f t="shared" ref="E294:E300" si="30">D294-C294</f>
        <v>0.32780825670585667</v>
      </c>
      <c r="F294" s="503">
        <f t="shared" ref="F294:F300" si="31">IF(C294=0,0,E294/C294)</f>
        <v>6.4334824033140434E-2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3.3621271806415307</v>
      </c>
      <c r="D295" s="466">
        <f>IF(LN_IB4=0,0,(LN_IB10)/(LN_IB4))</f>
        <v>3.6224774914622788</v>
      </c>
      <c r="E295" s="466">
        <f t="shared" si="30"/>
        <v>0.26035031082074811</v>
      </c>
      <c r="F295" s="503">
        <f t="shared" si="31"/>
        <v>7.7436187518364619E-2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3.7575757575757578</v>
      </c>
      <c r="D296" s="466">
        <f>IF(LN_IC4=0,0,LN_IC11/LN_IC4)</f>
        <v>3.8723404255319149</v>
      </c>
      <c r="E296" s="466">
        <f t="shared" si="30"/>
        <v>0.11476466795615714</v>
      </c>
      <c r="F296" s="503">
        <f t="shared" si="31"/>
        <v>3.0542210020590203E-2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3.8709953011533531</v>
      </c>
      <c r="D297" s="466">
        <f>IF(LN_ID4=0,0,LN_ID11/LN_ID4)</f>
        <v>4.2366345311130589</v>
      </c>
      <c r="E297" s="466">
        <f t="shared" si="30"/>
        <v>0.36563922995970577</v>
      </c>
      <c r="F297" s="503">
        <f t="shared" si="31"/>
        <v>9.4456128595858668E-2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3.5294117647058822</v>
      </c>
      <c r="D298" s="466">
        <f>IF(LN_IE4=0,0,LN_IE11/LN_IE4)</f>
        <v>4.875</v>
      </c>
      <c r="E298" s="466">
        <f t="shared" si="30"/>
        <v>1.3455882352941178</v>
      </c>
      <c r="F298" s="503">
        <f t="shared" si="31"/>
        <v>0.38125000000000003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2.6137566137566139</v>
      </c>
      <c r="D299" s="466">
        <f>IF(LN_IG3=0,0,LN_IG6/LN_IG3)</f>
        <v>2.7004608294930876</v>
      </c>
      <c r="E299" s="466">
        <f t="shared" si="30"/>
        <v>8.6704215736473689E-2</v>
      </c>
      <c r="F299" s="503">
        <f t="shared" si="31"/>
        <v>3.3172260676505111E-2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4.2528080028080026</v>
      </c>
      <c r="D300" s="466">
        <f>IF(LN_IIA4=0,0,LN_IIA14/LN_IIA4)</f>
        <v>4.568755846585594</v>
      </c>
      <c r="E300" s="466">
        <f t="shared" si="30"/>
        <v>0.31594784377759133</v>
      </c>
      <c r="F300" s="503">
        <f t="shared" si="31"/>
        <v>7.4291584188371632E-2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650427340</v>
      </c>
      <c r="D304" s="441">
        <f>LN_IIA11</f>
        <v>701705462</v>
      </c>
      <c r="E304" s="441">
        <f t="shared" ref="E304:E316" si="32">D304-C304</f>
        <v>51278122</v>
      </c>
      <c r="F304" s="449">
        <f>IF(C304=0,0,E304/C304)</f>
        <v>7.883758699319128E-2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277755758</v>
      </c>
      <c r="D305" s="441">
        <f>LN_IIB14</f>
        <v>306257731</v>
      </c>
      <c r="E305" s="441">
        <f t="shared" si="32"/>
        <v>28501973</v>
      </c>
      <c r="F305" s="449">
        <f>IF(C305=0,0,E305/C305)</f>
        <v>0.10261523723299375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14340976</v>
      </c>
      <c r="D306" s="441">
        <f>LN_IH6</f>
        <v>13240777</v>
      </c>
      <c r="E306" s="441">
        <f t="shared" si="32"/>
        <v>-1100199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76725360</v>
      </c>
      <c r="D307" s="441">
        <f>LN_IB32-LN_IB33</f>
        <v>77682175</v>
      </c>
      <c r="E307" s="441">
        <f t="shared" si="32"/>
        <v>956815</v>
      </c>
      <c r="F307" s="449">
        <f t="shared" ref="F307:F316" si="33">IF(C307=0,0,E307/C307)</f>
        <v>1.2470648557400056E-2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6702893</v>
      </c>
      <c r="D308" s="441">
        <v>6433031</v>
      </c>
      <c r="E308" s="441">
        <f t="shared" si="32"/>
        <v>-269862</v>
      </c>
      <c r="F308" s="449">
        <f t="shared" si="33"/>
        <v>-4.0260526313041251E-2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375524987</v>
      </c>
      <c r="D309" s="441">
        <f>LN_III2+LN_III3+LN_III4+LN_III5</f>
        <v>403613714</v>
      </c>
      <c r="E309" s="441">
        <f t="shared" si="32"/>
        <v>28088727</v>
      </c>
      <c r="F309" s="449">
        <f t="shared" si="33"/>
        <v>7.4798556613757367E-2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274902353</v>
      </c>
      <c r="D310" s="441">
        <f>LN_III1-LN_III6</f>
        <v>298091748</v>
      </c>
      <c r="E310" s="441">
        <f t="shared" si="32"/>
        <v>23189395</v>
      </c>
      <c r="F310" s="449">
        <f t="shared" si="33"/>
        <v>8.4355025509730716E-2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274902353</v>
      </c>
      <c r="D312" s="441">
        <f>LN_III7+LN_III8</f>
        <v>298091748</v>
      </c>
      <c r="E312" s="441">
        <f t="shared" si="32"/>
        <v>23189395</v>
      </c>
      <c r="F312" s="449">
        <f t="shared" si="33"/>
        <v>8.4355025509730716E-2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0.42264882807663035</v>
      </c>
      <c r="D313" s="532">
        <f>IF(LN_III1=0,0,LN_III9/LN_III1)</f>
        <v>0.42481035725499311</v>
      </c>
      <c r="E313" s="532">
        <f t="shared" si="32"/>
        <v>2.1615291783627644E-3</v>
      </c>
      <c r="F313" s="449">
        <f t="shared" si="33"/>
        <v>5.1142438704949115E-3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6061196.6998750819</v>
      </c>
      <c r="D314" s="441">
        <f>D313*LN_III5</f>
        <v>5624819.2077036956</v>
      </c>
      <c r="E314" s="441">
        <f t="shared" si="32"/>
        <v>-436377.49217138626</v>
      </c>
      <c r="F314" s="449">
        <f t="shared" si="33"/>
        <v>-7.1995269874739379E-2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21203043.883725122</v>
      </c>
      <c r="D315" s="441">
        <f>D313*LN_IH8-LN_IH9</f>
        <v>25119004.281373598</v>
      </c>
      <c r="E315" s="441">
        <f t="shared" si="32"/>
        <v>3915960.3976484761</v>
      </c>
      <c r="F315" s="449">
        <f t="shared" si="33"/>
        <v>0.1846885956150032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27264240.583600204</v>
      </c>
      <c r="D318" s="441">
        <f>D314+D315+D316</f>
        <v>30743823.489077292</v>
      </c>
      <c r="E318" s="441">
        <f>D318-C318</f>
        <v>3479582.9054770879</v>
      </c>
      <c r="F318" s="449">
        <f>IF(C318=0,0,E318/C318)</f>
        <v>0.12762442052283321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10689889.975904956</v>
      </c>
      <c r="D322" s="441">
        <f>LN_ID22</f>
        <v>13990113.153104283</v>
      </c>
      <c r="E322" s="441">
        <f>LN_IV2-C322</f>
        <v>3300223.1771993265</v>
      </c>
      <c r="F322" s="449">
        <f>IF(C322=0,0,E322/C322)</f>
        <v>0.30872377401807122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421878.64546921384</v>
      </c>
      <c r="D323" s="441">
        <f>LN_IE10+LN_IE22</f>
        <v>-205204.92744615901</v>
      </c>
      <c r="E323" s="441">
        <f>LN_IV3-C323</f>
        <v>-627083.5729153729</v>
      </c>
      <c r="F323" s="449">
        <f>IF(C323=0,0,E323/C323)</f>
        <v>-1.4864074767707902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1570252.7549632548</v>
      </c>
      <c r="D324" s="441">
        <f>LN_IC10+LN_IC22</f>
        <v>3811548.8774421089</v>
      </c>
      <c r="E324" s="441">
        <f>LN_IV1-C324</f>
        <v>2241296.1224788539</v>
      </c>
      <c r="F324" s="449">
        <f>IF(C324=0,0,E324/C324)</f>
        <v>1.4273473588214161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12682021.376337424</v>
      </c>
      <c r="D325" s="516">
        <f>LN_IV1+LN_IV2+LN_IV3</f>
        <v>17596457.103100233</v>
      </c>
      <c r="E325" s="441">
        <f>LN_IV4-C325</f>
        <v>4914435.7267628089</v>
      </c>
      <c r="F325" s="449">
        <f>IF(C325=0,0,E325/C325)</f>
        <v>0.38751202043645355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10885970</v>
      </c>
      <c r="D329" s="518">
        <v>10032789</v>
      </c>
      <c r="E329" s="518">
        <f t="shared" ref="E329:E335" si="34">D329-C329</f>
        <v>-853181</v>
      </c>
      <c r="F329" s="542">
        <f t="shared" ref="F329:F335" si="35">IF(C329=0,0,E329/C329)</f>
        <v>-7.8374366271448476E-2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-6893526</v>
      </c>
      <c r="D330" s="516">
        <v>-4473809</v>
      </c>
      <c r="E330" s="518">
        <f t="shared" si="34"/>
        <v>2419717</v>
      </c>
      <c r="F330" s="543">
        <f t="shared" si="35"/>
        <v>-0.35101296491809852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268008827</v>
      </c>
      <c r="D331" s="516">
        <v>293617939</v>
      </c>
      <c r="E331" s="518">
        <f t="shared" si="34"/>
        <v>25609112</v>
      </c>
      <c r="F331" s="542">
        <f t="shared" si="35"/>
        <v>9.5553240863966021E-2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650427340</v>
      </c>
      <c r="D333" s="516">
        <v>701705462</v>
      </c>
      <c r="E333" s="518">
        <f t="shared" si="34"/>
        <v>51278122</v>
      </c>
      <c r="F333" s="542">
        <f t="shared" si="35"/>
        <v>7.883758699319128E-2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174038</v>
      </c>
      <c r="D334" s="516">
        <v>58482</v>
      </c>
      <c r="E334" s="516">
        <f t="shared" si="34"/>
        <v>-115556</v>
      </c>
      <c r="F334" s="543">
        <f t="shared" si="35"/>
        <v>-0.66396993759983447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14515014</v>
      </c>
      <c r="D335" s="516">
        <v>13299258</v>
      </c>
      <c r="E335" s="516">
        <f t="shared" si="34"/>
        <v>-1215756</v>
      </c>
      <c r="F335" s="542">
        <f t="shared" si="35"/>
        <v>-8.3758513770637769E-2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FILING&amp;RWILLIAM W. BACKUS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topLeftCell="A10"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69969354</v>
      </c>
      <c r="D14" s="589">
        <v>66629894</v>
      </c>
      <c r="E14" s="590">
        <f t="shared" ref="E14:E22" si="0">D14-C14</f>
        <v>-3339460</v>
      </c>
    </row>
    <row r="15" spans="1:5" s="421" customFormat="1" x14ac:dyDescent="0.2">
      <c r="A15" s="588">
        <v>2</v>
      </c>
      <c r="B15" s="587" t="s">
        <v>636</v>
      </c>
      <c r="C15" s="589">
        <v>131136626</v>
      </c>
      <c r="D15" s="591">
        <v>134661462</v>
      </c>
      <c r="E15" s="590">
        <f t="shared" si="0"/>
        <v>3524836</v>
      </c>
    </row>
    <row r="16" spans="1:5" s="421" customFormat="1" x14ac:dyDescent="0.2">
      <c r="A16" s="588">
        <v>3</v>
      </c>
      <c r="B16" s="587" t="s">
        <v>778</v>
      </c>
      <c r="C16" s="589">
        <v>40111142</v>
      </c>
      <c r="D16" s="591">
        <v>43573810</v>
      </c>
      <c r="E16" s="590">
        <f t="shared" si="0"/>
        <v>3462668</v>
      </c>
    </row>
    <row r="17" spans="1:5" s="421" customFormat="1" x14ac:dyDescent="0.2">
      <c r="A17" s="588">
        <v>4</v>
      </c>
      <c r="B17" s="587" t="s">
        <v>115</v>
      </c>
      <c r="C17" s="589">
        <v>39100309</v>
      </c>
      <c r="D17" s="591">
        <v>41698751</v>
      </c>
      <c r="E17" s="590">
        <f t="shared" si="0"/>
        <v>2598442</v>
      </c>
    </row>
    <row r="18" spans="1:5" s="421" customFormat="1" x14ac:dyDescent="0.2">
      <c r="A18" s="588">
        <v>5</v>
      </c>
      <c r="B18" s="587" t="s">
        <v>744</v>
      </c>
      <c r="C18" s="589">
        <v>1010833</v>
      </c>
      <c r="D18" s="591">
        <v>1875059</v>
      </c>
      <c r="E18" s="590">
        <f t="shared" si="0"/>
        <v>864226</v>
      </c>
    </row>
    <row r="19" spans="1:5" s="421" customFormat="1" x14ac:dyDescent="0.2">
      <c r="A19" s="588">
        <v>6</v>
      </c>
      <c r="B19" s="587" t="s">
        <v>424</v>
      </c>
      <c r="C19" s="589">
        <v>2360285</v>
      </c>
      <c r="D19" s="591">
        <v>2915085</v>
      </c>
      <c r="E19" s="590">
        <f t="shared" si="0"/>
        <v>554800</v>
      </c>
    </row>
    <row r="20" spans="1:5" s="421" customFormat="1" x14ac:dyDescent="0.2">
      <c r="A20" s="588">
        <v>7</v>
      </c>
      <c r="B20" s="587" t="s">
        <v>759</v>
      </c>
      <c r="C20" s="589">
        <v>3027720</v>
      </c>
      <c r="D20" s="591">
        <v>2221992</v>
      </c>
      <c r="E20" s="590">
        <f t="shared" si="0"/>
        <v>-805728</v>
      </c>
    </row>
    <row r="21" spans="1:5" s="421" customFormat="1" x14ac:dyDescent="0.2">
      <c r="A21" s="588"/>
      <c r="B21" s="592" t="s">
        <v>779</v>
      </c>
      <c r="C21" s="593">
        <f>SUM(C15+C16+C19)</f>
        <v>173608053</v>
      </c>
      <c r="D21" s="593">
        <f>SUM(D15+D16+D19)</f>
        <v>181150357</v>
      </c>
      <c r="E21" s="593">
        <f t="shared" si="0"/>
        <v>7542304</v>
      </c>
    </row>
    <row r="22" spans="1:5" s="421" customFormat="1" x14ac:dyDescent="0.2">
      <c r="A22" s="588"/>
      <c r="B22" s="592" t="s">
        <v>465</v>
      </c>
      <c r="C22" s="593">
        <f>SUM(C14+C21)</f>
        <v>243577407</v>
      </c>
      <c r="D22" s="593">
        <f>SUM(D14+D21)</f>
        <v>247780251</v>
      </c>
      <c r="E22" s="593">
        <f t="shared" si="0"/>
        <v>4202844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181935829</v>
      </c>
      <c r="D25" s="589">
        <v>189577185</v>
      </c>
      <c r="E25" s="590">
        <f t="shared" ref="E25:E33" si="1">D25-C25</f>
        <v>7641356</v>
      </c>
    </row>
    <row r="26" spans="1:5" s="421" customFormat="1" x14ac:dyDescent="0.2">
      <c r="A26" s="588">
        <v>2</v>
      </c>
      <c r="B26" s="587" t="s">
        <v>636</v>
      </c>
      <c r="C26" s="589">
        <v>131894352</v>
      </c>
      <c r="D26" s="591">
        <v>153783721</v>
      </c>
      <c r="E26" s="590">
        <f t="shared" si="1"/>
        <v>21889369</v>
      </c>
    </row>
    <row r="27" spans="1:5" s="421" customFormat="1" x14ac:dyDescent="0.2">
      <c r="A27" s="588">
        <v>3</v>
      </c>
      <c r="B27" s="587" t="s">
        <v>778</v>
      </c>
      <c r="C27" s="589">
        <v>85901598</v>
      </c>
      <c r="D27" s="591">
        <v>102400367</v>
      </c>
      <c r="E27" s="590">
        <f t="shared" si="1"/>
        <v>16498769</v>
      </c>
    </row>
    <row r="28" spans="1:5" s="421" customFormat="1" x14ac:dyDescent="0.2">
      <c r="A28" s="588">
        <v>4</v>
      </c>
      <c r="B28" s="587" t="s">
        <v>115</v>
      </c>
      <c r="C28" s="589">
        <v>83926391</v>
      </c>
      <c r="D28" s="591">
        <v>100205817</v>
      </c>
      <c r="E28" s="590">
        <f t="shared" si="1"/>
        <v>16279426</v>
      </c>
    </row>
    <row r="29" spans="1:5" s="421" customFormat="1" x14ac:dyDescent="0.2">
      <c r="A29" s="588">
        <v>5</v>
      </c>
      <c r="B29" s="587" t="s">
        <v>744</v>
      </c>
      <c r="C29" s="589">
        <v>1975207</v>
      </c>
      <c r="D29" s="591">
        <v>2194550</v>
      </c>
      <c r="E29" s="590">
        <f t="shared" si="1"/>
        <v>219343</v>
      </c>
    </row>
    <row r="30" spans="1:5" s="421" customFormat="1" x14ac:dyDescent="0.2">
      <c r="A30" s="588">
        <v>6</v>
      </c>
      <c r="B30" s="587" t="s">
        <v>424</v>
      </c>
      <c r="C30" s="589">
        <v>7118154</v>
      </c>
      <c r="D30" s="591">
        <v>8163938</v>
      </c>
      <c r="E30" s="590">
        <f t="shared" si="1"/>
        <v>1045784</v>
      </c>
    </row>
    <row r="31" spans="1:5" s="421" customFormat="1" x14ac:dyDescent="0.2">
      <c r="A31" s="588">
        <v>7</v>
      </c>
      <c r="B31" s="587" t="s">
        <v>759</v>
      </c>
      <c r="C31" s="590">
        <v>11449862</v>
      </c>
      <c r="D31" s="594">
        <v>10795864</v>
      </c>
      <c r="E31" s="590">
        <f t="shared" si="1"/>
        <v>-653998</v>
      </c>
    </row>
    <row r="32" spans="1:5" s="421" customFormat="1" x14ac:dyDescent="0.2">
      <c r="A32" s="588"/>
      <c r="B32" s="592" t="s">
        <v>781</v>
      </c>
      <c r="C32" s="593">
        <f>SUM(C26+C27+C30)</f>
        <v>224914104</v>
      </c>
      <c r="D32" s="593">
        <f>SUM(D26+D27+D30)</f>
        <v>264348026</v>
      </c>
      <c r="E32" s="593">
        <f t="shared" si="1"/>
        <v>39433922</v>
      </c>
    </row>
    <row r="33" spans="1:5" s="421" customFormat="1" x14ac:dyDescent="0.2">
      <c r="A33" s="588"/>
      <c r="B33" s="592" t="s">
        <v>467</v>
      </c>
      <c r="C33" s="593">
        <f>SUM(C25+C32)</f>
        <v>406849933</v>
      </c>
      <c r="D33" s="593">
        <f>SUM(D25+D32)</f>
        <v>453925211</v>
      </c>
      <c r="E33" s="593">
        <f t="shared" si="1"/>
        <v>47075278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251905183</v>
      </c>
      <c r="D36" s="590">
        <f t="shared" si="2"/>
        <v>256207079</v>
      </c>
      <c r="E36" s="590">
        <f t="shared" ref="E36:E44" si="3">D36-C36</f>
        <v>4301896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263030978</v>
      </c>
      <c r="D37" s="590">
        <f t="shared" si="2"/>
        <v>288445183</v>
      </c>
      <c r="E37" s="590">
        <f t="shared" si="3"/>
        <v>25414205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126012740</v>
      </c>
      <c r="D38" s="590">
        <f t="shared" si="2"/>
        <v>145974177</v>
      </c>
      <c r="E38" s="590">
        <f t="shared" si="3"/>
        <v>19961437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123026700</v>
      </c>
      <c r="D39" s="590">
        <f t="shared" si="2"/>
        <v>141904568</v>
      </c>
      <c r="E39" s="590">
        <f t="shared" si="3"/>
        <v>18877868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2986040</v>
      </c>
      <c r="D40" s="590">
        <f t="shared" si="2"/>
        <v>4069609</v>
      </c>
      <c r="E40" s="590">
        <f t="shared" si="3"/>
        <v>1083569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9478439</v>
      </c>
      <c r="D41" s="590">
        <f t="shared" si="2"/>
        <v>11079023</v>
      </c>
      <c r="E41" s="590">
        <f t="shared" si="3"/>
        <v>1600584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14477582</v>
      </c>
      <c r="D42" s="590">
        <f t="shared" si="2"/>
        <v>13017856</v>
      </c>
      <c r="E42" s="590">
        <f t="shared" si="3"/>
        <v>-1459726</v>
      </c>
    </row>
    <row r="43" spans="1:5" s="421" customFormat="1" x14ac:dyDescent="0.2">
      <c r="A43" s="588"/>
      <c r="B43" s="592" t="s">
        <v>789</v>
      </c>
      <c r="C43" s="593">
        <f>SUM(C37+C38+C41)</f>
        <v>398522157</v>
      </c>
      <c r="D43" s="593">
        <f>SUM(D37+D38+D41)</f>
        <v>445498383</v>
      </c>
      <c r="E43" s="593">
        <f t="shared" si="3"/>
        <v>46976226</v>
      </c>
    </row>
    <row r="44" spans="1:5" s="421" customFormat="1" x14ac:dyDescent="0.2">
      <c r="A44" s="588"/>
      <c r="B44" s="592" t="s">
        <v>726</v>
      </c>
      <c r="C44" s="593">
        <f>SUM(C36+C43)</f>
        <v>650427340</v>
      </c>
      <c r="D44" s="593">
        <f>SUM(D36+D43)</f>
        <v>701705462</v>
      </c>
      <c r="E44" s="593">
        <f t="shared" si="3"/>
        <v>51278122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51682398</v>
      </c>
      <c r="D47" s="589">
        <v>49700199</v>
      </c>
      <c r="E47" s="590">
        <f t="shared" ref="E47:E55" si="4">D47-C47</f>
        <v>-1982199</v>
      </c>
    </row>
    <row r="48" spans="1:5" s="421" customFormat="1" x14ac:dyDescent="0.2">
      <c r="A48" s="588">
        <v>2</v>
      </c>
      <c r="B48" s="587" t="s">
        <v>636</v>
      </c>
      <c r="C48" s="589">
        <v>54316391</v>
      </c>
      <c r="D48" s="591">
        <v>60975522</v>
      </c>
      <c r="E48" s="590">
        <f t="shared" si="4"/>
        <v>6659131</v>
      </c>
    </row>
    <row r="49" spans="1:5" s="421" customFormat="1" x14ac:dyDescent="0.2">
      <c r="A49" s="588">
        <v>3</v>
      </c>
      <c r="B49" s="587" t="s">
        <v>778</v>
      </c>
      <c r="C49" s="589">
        <v>12038203</v>
      </c>
      <c r="D49" s="591">
        <v>13123086</v>
      </c>
      <c r="E49" s="590">
        <f t="shared" si="4"/>
        <v>1084883</v>
      </c>
    </row>
    <row r="50" spans="1:5" s="421" customFormat="1" x14ac:dyDescent="0.2">
      <c r="A50" s="588">
        <v>4</v>
      </c>
      <c r="B50" s="587" t="s">
        <v>115</v>
      </c>
      <c r="C50" s="589">
        <v>11717559</v>
      </c>
      <c r="D50" s="591">
        <v>12041319</v>
      </c>
      <c r="E50" s="590">
        <f t="shared" si="4"/>
        <v>323760</v>
      </c>
    </row>
    <row r="51" spans="1:5" s="421" customFormat="1" x14ac:dyDescent="0.2">
      <c r="A51" s="588">
        <v>5</v>
      </c>
      <c r="B51" s="587" t="s">
        <v>744</v>
      </c>
      <c r="C51" s="589">
        <v>320644</v>
      </c>
      <c r="D51" s="591">
        <v>1081767</v>
      </c>
      <c r="E51" s="590">
        <f t="shared" si="4"/>
        <v>761123</v>
      </c>
    </row>
    <row r="52" spans="1:5" s="421" customFormat="1" x14ac:dyDescent="0.2">
      <c r="A52" s="588">
        <v>6</v>
      </c>
      <c r="B52" s="587" t="s">
        <v>424</v>
      </c>
      <c r="C52" s="589">
        <v>914334</v>
      </c>
      <c r="D52" s="591">
        <v>1084152</v>
      </c>
      <c r="E52" s="590">
        <f t="shared" si="4"/>
        <v>169818</v>
      </c>
    </row>
    <row r="53" spans="1:5" s="421" customFormat="1" x14ac:dyDescent="0.2">
      <c r="A53" s="588">
        <v>7</v>
      </c>
      <c r="B53" s="587" t="s">
        <v>759</v>
      </c>
      <c r="C53" s="589">
        <v>493407</v>
      </c>
      <c r="D53" s="591">
        <v>392909</v>
      </c>
      <c r="E53" s="590">
        <f t="shared" si="4"/>
        <v>-100498</v>
      </c>
    </row>
    <row r="54" spans="1:5" s="421" customFormat="1" x14ac:dyDescent="0.2">
      <c r="A54" s="588"/>
      <c r="B54" s="592" t="s">
        <v>791</v>
      </c>
      <c r="C54" s="593">
        <f>SUM(C48+C49+C52)</f>
        <v>67268928</v>
      </c>
      <c r="D54" s="593">
        <f>SUM(D48+D49+D52)</f>
        <v>75182760</v>
      </c>
      <c r="E54" s="593">
        <f t="shared" si="4"/>
        <v>7913832</v>
      </c>
    </row>
    <row r="55" spans="1:5" s="421" customFormat="1" x14ac:dyDescent="0.2">
      <c r="A55" s="588"/>
      <c r="B55" s="592" t="s">
        <v>466</v>
      </c>
      <c r="C55" s="593">
        <f>SUM(C47+C54)</f>
        <v>118951326</v>
      </c>
      <c r="D55" s="593">
        <f>SUM(D47+D54)</f>
        <v>124882959</v>
      </c>
      <c r="E55" s="593">
        <f t="shared" si="4"/>
        <v>5931633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102453556</v>
      </c>
      <c r="D58" s="589">
        <v>109150897</v>
      </c>
      <c r="E58" s="590">
        <f t="shared" ref="E58:E66" si="5">D58-C58</f>
        <v>6697341</v>
      </c>
    </row>
    <row r="59" spans="1:5" s="421" customFormat="1" x14ac:dyDescent="0.2">
      <c r="A59" s="588">
        <v>2</v>
      </c>
      <c r="B59" s="587" t="s">
        <v>636</v>
      </c>
      <c r="C59" s="589">
        <v>31703568</v>
      </c>
      <c r="D59" s="591">
        <v>38182696</v>
      </c>
      <c r="E59" s="590">
        <f t="shared" si="5"/>
        <v>6479128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20017890</v>
      </c>
      <c r="D60" s="591">
        <f>D61+D62</f>
        <v>23769252</v>
      </c>
      <c r="E60" s="590">
        <f t="shared" si="5"/>
        <v>3751362</v>
      </c>
    </row>
    <row r="61" spans="1:5" s="421" customFormat="1" x14ac:dyDescent="0.2">
      <c r="A61" s="588">
        <v>4</v>
      </c>
      <c r="B61" s="587" t="s">
        <v>115</v>
      </c>
      <c r="C61" s="589">
        <v>19514011</v>
      </c>
      <c r="D61" s="591">
        <v>23382850</v>
      </c>
      <c r="E61" s="590">
        <f t="shared" si="5"/>
        <v>3868839</v>
      </c>
    </row>
    <row r="62" spans="1:5" s="421" customFormat="1" x14ac:dyDescent="0.2">
      <c r="A62" s="588">
        <v>5</v>
      </c>
      <c r="B62" s="587" t="s">
        <v>744</v>
      </c>
      <c r="C62" s="589">
        <v>503879</v>
      </c>
      <c r="D62" s="591">
        <v>386402</v>
      </c>
      <c r="E62" s="590">
        <f t="shared" si="5"/>
        <v>-117477</v>
      </c>
    </row>
    <row r="63" spans="1:5" s="421" customFormat="1" x14ac:dyDescent="0.2">
      <c r="A63" s="588">
        <v>6</v>
      </c>
      <c r="B63" s="587" t="s">
        <v>424</v>
      </c>
      <c r="C63" s="589">
        <v>1776013</v>
      </c>
      <c r="D63" s="591">
        <v>2105944</v>
      </c>
      <c r="E63" s="590">
        <f t="shared" si="5"/>
        <v>329931</v>
      </c>
    </row>
    <row r="64" spans="1:5" s="421" customFormat="1" x14ac:dyDescent="0.2">
      <c r="A64" s="588">
        <v>7</v>
      </c>
      <c r="B64" s="587" t="s">
        <v>759</v>
      </c>
      <c r="C64" s="589">
        <v>1892058</v>
      </c>
      <c r="D64" s="591">
        <v>1791848</v>
      </c>
      <c r="E64" s="590">
        <f t="shared" si="5"/>
        <v>-100210</v>
      </c>
    </row>
    <row r="65" spans="1:5" s="421" customFormat="1" x14ac:dyDescent="0.2">
      <c r="A65" s="588"/>
      <c r="B65" s="592" t="s">
        <v>793</v>
      </c>
      <c r="C65" s="593">
        <f>SUM(C59+C60+C63)</f>
        <v>53497471</v>
      </c>
      <c r="D65" s="593">
        <f>SUM(D59+D60+D63)</f>
        <v>64057892</v>
      </c>
      <c r="E65" s="593">
        <f t="shared" si="5"/>
        <v>10560421</v>
      </c>
    </row>
    <row r="66" spans="1:5" s="421" customFormat="1" x14ac:dyDescent="0.2">
      <c r="A66" s="588"/>
      <c r="B66" s="592" t="s">
        <v>468</v>
      </c>
      <c r="C66" s="593">
        <f>SUM(C58+C65)</f>
        <v>155951027</v>
      </c>
      <c r="D66" s="593">
        <f>SUM(D58+D65)</f>
        <v>173208789</v>
      </c>
      <c r="E66" s="593">
        <f t="shared" si="5"/>
        <v>17257762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154135954</v>
      </c>
      <c r="D69" s="590">
        <f t="shared" si="6"/>
        <v>158851096</v>
      </c>
      <c r="E69" s="590">
        <f t="shared" ref="E69:E77" si="7">D69-C69</f>
        <v>4715142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86019959</v>
      </c>
      <c r="D70" s="590">
        <f t="shared" si="6"/>
        <v>99158218</v>
      </c>
      <c r="E70" s="590">
        <f t="shared" si="7"/>
        <v>13138259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32056093</v>
      </c>
      <c r="D71" s="590">
        <f t="shared" si="6"/>
        <v>36892338</v>
      </c>
      <c r="E71" s="590">
        <f t="shared" si="7"/>
        <v>4836245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31231570</v>
      </c>
      <c r="D72" s="590">
        <f t="shared" si="6"/>
        <v>35424169</v>
      </c>
      <c r="E72" s="590">
        <f t="shared" si="7"/>
        <v>4192599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824523</v>
      </c>
      <c r="D73" s="590">
        <f t="shared" si="6"/>
        <v>1468169</v>
      </c>
      <c r="E73" s="590">
        <f t="shared" si="7"/>
        <v>643646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2690347</v>
      </c>
      <c r="D74" s="590">
        <f t="shared" si="6"/>
        <v>3190096</v>
      </c>
      <c r="E74" s="590">
        <f t="shared" si="7"/>
        <v>499749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2385465</v>
      </c>
      <c r="D75" s="590">
        <f t="shared" si="6"/>
        <v>2184757</v>
      </c>
      <c r="E75" s="590">
        <f t="shared" si="7"/>
        <v>-200708</v>
      </c>
    </row>
    <row r="76" spans="1:5" s="421" customFormat="1" x14ac:dyDescent="0.2">
      <c r="A76" s="588"/>
      <c r="B76" s="592" t="s">
        <v>794</v>
      </c>
      <c r="C76" s="593">
        <f>SUM(C70+C71+C74)</f>
        <v>120766399</v>
      </c>
      <c r="D76" s="593">
        <f>SUM(D70+D71+D74)</f>
        <v>139240652</v>
      </c>
      <c r="E76" s="593">
        <f t="shared" si="7"/>
        <v>18474253</v>
      </c>
    </row>
    <row r="77" spans="1:5" s="421" customFormat="1" x14ac:dyDescent="0.2">
      <c r="A77" s="588"/>
      <c r="B77" s="592" t="s">
        <v>727</v>
      </c>
      <c r="C77" s="593">
        <f>SUM(C69+C76)</f>
        <v>274902353</v>
      </c>
      <c r="D77" s="593">
        <f>SUM(D69+D76)</f>
        <v>298091748</v>
      </c>
      <c r="E77" s="593">
        <f t="shared" si="7"/>
        <v>23189395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0.1075744356010619</v>
      </c>
      <c r="D83" s="599">
        <f t="shared" si="8"/>
        <v>9.4954218840040891E-2</v>
      </c>
      <c r="E83" s="599">
        <f t="shared" ref="E83:E91" si="9">D83-C83</f>
        <v>-1.2620216761021014E-2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0.20161610365271546</v>
      </c>
      <c r="D84" s="599">
        <f t="shared" si="8"/>
        <v>0.19190596239081292</v>
      </c>
      <c r="E84" s="599">
        <f t="shared" si="9"/>
        <v>-9.7101412619025329E-3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6.1668905246203214E-2</v>
      </c>
      <c r="D85" s="599">
        <f t="shared" si="8"/>
        <v>6.2097008445403834E-2</v>
      </c>
      <c r="E85" s="599">
        <f t="shared" si="9"/>
        <v>4.281031992006204E-4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6.0114799294875891E-2</v>
      </c>
      <c r="D86" s="599">
        <f t="shared" si="8"/>
        <v>5.9424863077380465E-2</v>
      </c>
      <c r="E86" s="599">
        <f t="shared" si="9"/>
        <v>-6.8993621749542655E-4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1.5541059513273228E-3</v>
      </c>
      <c r="D87" s="599">
        <f t="shared" si="8"/>
        <v>2.6721453680233717E-3</v>
      </c>
      <c r="E87" s="599">
        <f t="shared" si="9"/>
        <v>1.1180394166960489E-3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3.6288219372820336E-3</v>
      </c>
      <c r="D88" s="599">
        <f t="shared" si="8"/>
        <v>4.1542857478854851E-3</v>
      </c>
      <c r="E88" s="599">
        <f t="shared" si="9"/>
        <v>5.2546381060345143E-4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4.6549703768602345E-3</v>
      </c>
      <c r="D89" s="599">
        <f t="shared" si="8"/>
        <v>3.1665593619107386E-3</v>
      </c>
      <c r="E89" s="599">
        <f t="shared" si="9"/>
        <v>-1.4884110149494959E-3</v>
      </c>
    </row>
    <row r="90" spans="1:5" s="421" customFormat="1" x14ac:dyDescent="0.2">
      <c r="A90" s="588"/>
      <c r="B90" s="592" t="s">
        <v>797</v>
      </c>
      <c r="C90" s="600">
        <f>SUM(C84+C85+C88)</f>
        <v>0.26691383083620068</v>
      </c>
      <c r="D90" s="600">
        <f>SUM(D84+D85+D88)</f>
        <v>0.25815725658410227</v>
      </c>
      <c r="E90" s="601">
        <f t="shared" si="9"/>
        <v>-8.7565742520984147E-3</v>
      </c>
    </row>
    <row r="91" spans="1:5" s="421" customFormat="1" x14ac:dyDescent="0.2">
      <c r="A91" s="588"/>
      <c r="B91" s="592" t="s">
        <v>798</v>
      </c>
      <c r="C91" s="600">
        <f>SUM(C83+C90)</f>
        <v>0.37448826643726257</v>
      </c>
      <c r="D91" s="600">
        <f>SUM(D83+D90)</f>
        <v>0.35311147542414317</v>
      </c>
      <c r="E91" s="601">
        <f t="shared" si="9"/>
        <v>-2.1376791013119401E-2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0.27971737627142179</v>
      </c>
      <c r="D95" s="599">
        <f t="shared" si="10"/>
        <v>0.27016632371603228</v>
      </c>
      <c r="E95" s="599">
        <f t="shared" ref="E95:E103" si="11">D95-C95</f>
        <v>-9.5510525553895165E-3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0.20278107005772544</v>
      </c>
      <c r="D96" s="599">
        <f t="shared" si="10"/>
        <v>0.21915708132253359</v>
      </c>
      <c r="E96" s="599">
        <f t="shared" si="11"/>
        <v>1.6376011264808144E-2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0.1320694760463175</v>
      </c>
      <c r="D97" s="599">
        <f t="shared" si="10"/>
        <v>0.14593069677431128</v>
      </c>
      <c r="E97" s="599">
        <f t="shared" si="11"/>
        <v>1.3861220727993784E-2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0.12903269256793543</v>
      </c>
      <c r="D98" s="599">
        <f t="shared" si="10"/>
        <v>0.14280324498884975</v>
      </c>
      <c r="E98" s="599">
        <f t="shared" si="11"/>
        <v>1.3770552420914323E-2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3.0367834783820743E-3</v>
      </c>
      <c r="D99" s="599">
        <f t="shared" si="10"/>
        <v>3.127451785461519E-3</v>
      </c>
      <c r="E99" s="599">
        <f t="shared" si="11"/>
        <v>9.0668307079444684E-5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1.0943811187272662E-2</v>
      </c>
      <c r="D100" s="599">
        <f t="shared" si="10"/>
        <v>1.163442276297972E-2</v>
      </c>
      <c r="E100" s="599">
        <f t="shared" si="11"/>
        <v>6.9061157570705738E-4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1.760359888930868E-2</v>
      </c>
      <c r="D101" s="599">
        <f t="shared" si="10"/>
        <v>1.5385178803125805E-2</v>
      </c>
      <c r="E101" s="599">
        <f t="shared" si="11"/>
        <v>-2.2184200861828755E-3</v>
      </c>
    </row>
    <row r="102" spans="1:5" s="421" customFormat="1" x14ac:dyDescent="0.2">
      <c r="A102" s="588"/>
      <c r="B102" s="592" t="s">
        <v>800</v>
      </c>
      <c r="C102" s="600">
        <f>SUM(C96+C97+C100)</f>
        <v>0.34579435729131563</v>
      </c>
      <c r="D102" s="600">
        <f>SUM(D96+D97+D100)</f>
        <v>0.37672220085982461</v>
      </c>
      <c r="E102" s="601">
        <f t="shared" si="11"/>
        <v>3.0927843568508973E-2</v>
      </c>
    </row>
    <row r="103" spans="1:5" s="421" customFormat="1" x14ac:dyDescent="0.2">
      <c r="A103" s="588"/>
      <c r="B103" s="592" t="s">
        <v>801</v>
      </c>
      <c r="C103" s="600">
        <f>SUM(C95+C102)</f>
        <v>0.62551173356273737</v>
      </c>
      <c r="D103" s="600">
        <f>SUM(D95+D102)</f>
        <v>0.64688852457585688</v>
      </c>
      <c r="E103" s="601">
        <f t="shared" si="11"/>
        <v>2.1376791013119512E-2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0.1880027487432965</v>
      </c>
      <c r="D109" s="599">
        <f t="shared" si="12"/>
        <v>0.16672785923614364</v>
      </c>
      <c r="E109" s="599">
        <f t="shared" ref="E109:E117" si="13">D109-C109</f>
        <v>-2.1274889507152867E-2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0.19758430732675467</v>
      </c>
      <c r="D110" s="599">
        <f t="shared" si="12"/>
        <v>0.20455286806530451</v>
      </c>
      <c r="E110" s="599">
        <f t="shared" si="13"/>
        <v>6.9685607385498449E-3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4.3790832885304554E-2</v>
      </c>
      <c r="D111" s="599">
        <f t="shared" si="12"/>
        <v>4.402364737718268E-2</v>
      </c>
      <c r="E111" s="599">
        <f t="shared" si="13"/>
        <v>2.3281449187812636E-4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4.2624440540892712E-2</v>
      </c>
      <c r="D112" s="599">
        <f t="shared" si="12"/>
        <v>4.0394674058538513E-2</v>
      </c>
      <c r="E112" s="599">
        <f t="shared" si="13"/>
        <v>-2.2297664823541993E-3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1.1663923444118357E-3</v>
      </c>
      <c r="D113" s="599">
        <f t="shared" si="12"/>
        <v>3.6289733186441646E-3</v>
      </c>
      <c r="E113" s="599">
        <f t="shared" si="13"/>
        <v>2.4625809742323292E-3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3.3260319165038213E-3</v>
      </c>
      <c r="D114" s="599">
        <f t="shared" si="12"/>
        <v>3.6369742110405551E-3</v>
      </c>
      <c r="E114" s="599">
        <f t="shared" si="13"/>
        <v>3.1094229453673379E-4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1.7948445861429203E-3</v>
      </c>
      <c r="D115" s="599">
        <f t="shared" si="12"/>
        <v>1.3180807675360407E-3</v>
      </c>
      <c r="E115" s="599">
        <f t="shared" si="13"/>
        <v>-4.767638186068796E-4</v>
      </c>
    </row>
    <row r="116" spans="1:5" s="421" customFormat="1" x14ac:dyDescent="0.2">
      <c r="A116" s="588"/>
      <c r="B116" s="592" t="s">
        <v>797</v>
      </c>
      <c r="C116" s="600">
        <f>SUM(C110+C111+C114)</f>
        <v>0.24470117212856304</v>
      </c>
      <c r="D116" s="600">
        <f>SUM(D110+D111+D114)</f>
        <v>0.25221348965352774</v>
      </c>
      <c r="E116" s="601">
        <f t="shared" si="13"/>
        <v>7.5123175249647012E-3</v>
      </c>
    </row>
    <row r="117" spans="1:5" s="421" customFormat="1" x14ac:dyDescent="0.2">
      <c r="A117" s="588"/>
      <c r="B117" s="592" t="s">
        <v>798</v>
      </c>
      <c r="C117" s="600">
        <f>SUM(C109+C116)</f>
        <v>0.43270392087185955</v>
      </c>
      <c r="D117" s="600">
        <f>SUM(D109+D116)</f>
        <v>0.41894134888967138</v>
      </c>
      <c r="E117" s="601">
        <f t="shared" si="13"/>
        <v>-1.3762571982188165E-2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0.37269072047557195</v>
      </c>
      <c r="D121" s="599">
        <f t="shared" si="14"/>
        <v>0.36616544313061627</v>
      </c>
      <c r="E121" s="599">
        <f t="shared" ref="E121:E129" si="15">D121-C121</f>
        <v>-6.5252773449556711E-3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0.11532665200577603</v>
      </c>
      <c r="D122" s="599">
        <f t="shared" si="14"/>
        <v>0.12809041597488302</v>
      </c>
      <c r="E122" s="599">
        <f t="shared" si="15"/>
        <v>1.2763763969106987E-2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7.2818183553343394E-2</v>
      </c>
      <c r="D123" s="599">
        <f t="shared" si="14"/>
        <v>7.9738040920206893E-2</v>
      </c>
      <c r="E123" s="599">
        <f t="shared" si="15"/>
        <v>6.9198573668634994E-3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7.0985245440951167E-2</v>
      </c>
      <c r="D124" s="599">
        <f t="shared" si="14"/>
        <v>7.8441789002491949E-2</v>
      </c>
      <c r="E124" s="599">
        <f t="shared" si="15"/>
        <v>7.4565435615407821E-3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1.8329381123922208E-3</v>
      </c>
      <c r="D125" s="599">
        <f t="shared" si="14"/>
        <v>1.2962519177149446E-3</v>
      </c>
      <c r="E125" s="599">
        <f t="shared" si="15"/>
        <v>-5.3668619467727623E-4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6.4605230934491132E-3</v>
      </c>
      <c r="D126" s="599">
        <f t="shared" si="14"/>
        <v>7.0647510846224429E-3</v>
      </c>
      <c r="E126" s="599">
        <f t="shared" si="15"/>
        <v>6.0422799117332976E-4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6.8826548021580598E-3</v>
      </c>
      <c r="D127" s="599">
        <f t="shared" si="14"/>
        <v>6.0110620707286401E-3</v>
      </c>
      <c r="E127" s="599">
        <f t="shared" si="15"/>
        <v>-8.7159273142941966E-4</v>
      </c>
    </row>
    <row r="128" spans="1:5" s="421" customFormat="1" x14ac:dyDescent="0.2">
      <c r="A128" s="588"/>
      <c r="B128" s="592" t="s">
        <v>800</v>
      </c>
      <c r="C128" s="600">
        <f>SUM(C122+C123+C126)</f>
        <v>0.19460535865256853</v>
      </c>
      <c r="D128" s="600">
        <f>SUM(D122+D123+D126)</f>
        <v>0.21489320797971237</v>
      </c>
      <c r="E128" s="601">
        <f t="shared" si="15"/>
        <v>2.0287849327143836E-2</v>
      </c>
    </row>
    <row r="129" spans="1:5" s="421" customFormat="1" x14ac:dyDescent="0.2">
      <c r="A129" s="588"/>
      <c r="B129" s="592" t="s">
        <v>801</v>
      </c>
      <c r="C129" s="600">
        <f>SUM(C121+C128)</f>
        <v>0.56729607912814051</v>
      </c>
      <c r="D129" s="600">
        <f>SUM(D121+D128)</f>
        <v>0.58105865111032862</v>
      </c>
      <c r="E129" s="601">
        <f t="shared" si="15"/>
        <v>1.376257198218811E-2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3554</v>
      </c>
      <c r="D137" s="606">
        <v>3221</v>
      </c>
      <c r="E137" s="607">
        <f t="shared" ref="E137:E145" si="16">D137-C137</f>
        <v>-333</v>
      </c>
    </row>
    <row r="138" spans="1:5" s="421" customFormat="1" x14ac:dyDescent="0.2">
      <c r="A138" s="588">
        <v>2</v>
      </c>
      <c r="B138" s="587" t="s">
        <v>636</v>
      </c>
      <c r="C138" s="606">
        <v>5244</v>
      </c>
      <c r="D138" s="606">
        <v>4906</v>
      </c>
      <c r="E138" s="607">
        <f t="shared" si="16"/>
        <v>-338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2409</v>
      </c>
      <c r="D139" s="606">
        <f>D140+D141</f>
        <v>2346</v>
      </c>
      <c r="E139" s="607">
        <f t="shared" si="16"/>
        <v>-63</v>
      </c>
    </row>
    <row r="140" spans="1:5" s="421" customFormat="1" x14ac:dyDescent="0.2">
      <c r="A140" s="588">
        <v>4</v>
      </c>
      <c r="B140" s="587" t="s">
        <v>115</v>
      </c>
      <c r="C140" s="606">
        <v>2341</v>
      </c>
      <c r="D140" s="606">
        <v>2282</v>
      </c>
      <c r="E140" s="607">
        <f t="shared" si="16"/>
        <v>-59</v>
      </c>
    </row>
    <row r="141" spans="1:5" s="421" customFormat="1" x14ac:dyDescent="0.2">
      <c r="A141" s="588">
        <v>5</v>
      </c>
      <c r="B141" s="587" t="s">
        <v>744</v>
      </c>
      <c r="C141" s="606">
        <v>68</v>
      </c>
      <c r="D141" s="606">
        <v>64</v>
      </c>
      <c r="E141" s="607">
        <f t="shared" si="16"/>
        <v>-4</v>
      </c>
    </row>
    <row r="142" spans="1:5" s="421" customFormat="1" x14ac:dyDescent="0.2">
      <c r="A142" s="588">
        <v>6</v>
      </c>
      <c r="B142" s="587" t="s">
        <v>424</v>
      </c>
      <c r="C142" s="606">
        <v>189</v>
      </c>
      <c r="D142" s="606">
        <v>217</v>
      </c>
      <c r="E142" s="607">
        <f t="shared" si="16"/>
        <v>28</v>
      </c>
    </row>
    <row r="143" spans="1:5" s="421" customFormat="1" x14ac:dyDescent="0.2">
      <c r="A143" s="588">
        <v>7</v>
      </c>
      <c r="B143" s="587" t="s">
        <v>759</v>
      </c>
      <c r="C143" s="606">
        <v>132</v>
      </c>
      <c r="D143" s="606">
        <v>141</v>
      </c>
      <c r="E143" s="607">
        <f t="shared" si="16"/>
        <v>9</v>
      </c>
    </row>
    <row r="144" spans="1:5" s="421" customFormat="1" x14ac:dyDescent="0.2">
      <c r="A144" s="588"/>
      <c r="B144" s="592" t="s">
        <v>808</v>
      </c>
      <c r="C144" s="608">
        <f>SUM(C138+C139+C142)</f>
        <v>7842</v>
      </c>
      <c r="D144" s="608">
        <f>SUM(D138+D139+D142)</f>
        <v>7469</v>
      </c>
      <c r="E144" s="609">
        <f t="shared" si="16"/>
        <v>-373</v>
      </c>
    </row>
    <row r="145" spans="1:5" s="421" customFormat="1" x14ac:dyDescent="0.2">
      <c r="A145" s="588"/>
      <c r="B145" s="592" t="s">
        <v>138</v>
      </c>
      <c r="C145" s="608">
        <f>SUM(C137+C144)</f>
        <v>11396</v>
      </c>
      <c r="D145" s="608">
        <f>SUM(D137+D144)</f>
        <v>10690</v>
      </c>
      <c r="E145" s="609">
        <f t="shared" si="16"/>
        <v>-706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11949</v>
      </c>
      <c r="D149" s="610">
        <v>11668</v>
      </c>
      <c r="E149" s="607">
        <f t="shared" ref="E149:E157" si="17">D149-C149</f>
        <v>-281</v>
      </c>
    </row>
    <row r="150" spans="1:5" s="421" customFormat="1" x14ac:dyDescent="0.2">
      <c r="A150" s="588">
        <v>2</v>
      </c>
      <c r="B150" s="587" t="s">
        <v>636</v>
      </c>
      <c r="C150" s="610">
        <v>26720</v>
      </c>
      <c r="D150" s="610">
        <v>26606</v>
      </c>
      <c r="E150" s="607">
        <f t="shared" si="17"/>
        <v>-114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9302</v>
      </c>
      <c r="D151" s="610">
        <f>D152+D153</f>
        <v>9980</v>
      </c>
      <c r="E151" s="607">
        <f t="shared" si="17"/>
        <v>678</v>
      </c>
    </row>
    <row r="152" spans="1:5" s="421" customFormat="1" x14ac:dyDescent="0.2">
      <c r="A152" s="588">
        <v>4</v>
      </c>
      <c r="B152" s="587" t="s">
        <v>115</v>
      </c>
      <c r="C152" s="610">
        <v>9062</v>
      </c>
      <c r="D152" s="610">
        <v>9668</v>
      </c>
      <c r="E152" s="607">
        <f t="shared" si="17"/>
        <v>606</v>
      </c>
    </row>
    <row r="153" spans="1:5" s="421" customFormat="1" x14ac:dyDescent="0.2">
      <c r="A153" s="588">
        <v>5</v>
      </c>
      <c r="B153" s="587" t="s">
        <v>744</v>
      </c>
      <c r="C153" s="611">
        <v>240</v>
      </c>
      <c r="D153" s="610">
        <v>312</v>
      </c>
      <c r="E153" s="607">
        <f t="shared" si="17"/>
        <v>72</v>
      </c>
    </row>
    <row r="154" spans="1:5" s="421" customFormat="1" x14ac:dyDescent="0.2">
      <c r="A154" s="588">
        <v>6</v>
      </c>
      <c r="B154" s="587" t="s">
        <v>424</v>
      </c>
      <c r="C154" s="610">
        <v>494</v>
      </c>
      <c r="D154" s="610">
        <v>586</v>
      </c>
      <c r="E154" s="607">
        <f t="shared" si="17"/>
        <v>92</v>
      </c>
    </row>
    <row r="155" spans="1:5" s="421" customFormat="1" x14ac:dyDescent="0.2">
      <c r="A155" s="588">
        <v>7</v>
      </c>
      <c r="B155" s="587" t="s">
        <v>759</v>
      </c>
      <c r="C155" s="610">
        <v>496</v>
      </c>
      <c r="D155" s="610">
        <v>546</v>
      </c>
      <c r="E155" s="607">
        <f t="shared" si="17"/>
        <v>50</v>
      </c>
    </row>
    <row r="156" spans="1:5" s="421" customFormat="1" x14ac:dyDescent="0.2">
      <c r="A156" s="588"/>
      <c r="B156" s="592" t="s">
        <v>809</v>
      </c>
      <c r="C156" s="608">
        <f>SUM(C150+C151+C154)</f>
        <v>36516</v>
      </c>
      <c r="D156" s="608">
        <f>SUM(D150+D151+D154)</f>
        <v>37172</v>
      </c>
      <c r="E156" s="609">
        <f t="shared" si="17"/>
        <v>656</v>
      </c>
    </row>
    <row r="157" spans="1:5" s="421" customFormat="1" x14ac:dyDescent="0.2">
      <c r="A157" s="588"/>
      <c r="B157" s="592" t="s">
        <v>140</v>
      </c>
      <c r="C157" s="608">
        <f>SUM(C149+C156)</f>
        <v>48465</v>
      </c>
      <c r="D157" s="608">
        <f>SUM(D149+D156)</f>
        <v>48840</v>
      </c>
      <c r="E157" s="609">
        <f t="shared" si="17"/>
        <v>375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3.3621271806415307</v>
      </c>
      <c r="D161" s="612">
        <f t="shared" si="18"/>
        <v>3.6224774914622788</v>
      </c>
      <c r="E161" s="613">
        <f t="shared" ref="E161:E169" si="19">D161-C161</f>
        <v>0.26035031082074811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5.0953470633104496</v>
      </c>
      <c r="D162" s="612">
        <f t="shared" si="18"/>
        <v>5.4231553200163063</v>
      </c>
      <c r="E162" s="613">
        <f t="shared" si="19"/>
        <v>0.32780825670585667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3.8613532586135326</v>
      </c>
      <c r="D163" s="612">
        <f t="shared" si="18"/>
        <v>4.2540494458653022</v>
      </c>
      <c r="E163" s="613">
        <f t="shared" si="19"/>
        <v>0.39269618725176958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3.8709953011533531</v>
      </c>
      <c r="D164" s="612">
        <f t="shared" si="18"/>
        <v>4.2366345311130589</v>
      </c>
      <c r="E164" s="613">
        <f t="shared" si="19"/>
        <v>0.36563922995970577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3.5294117647058822</v>
      </c>
      <c r="D165" s="612">
        <f t="shared" si="18"/>
        <v>4.875</v>
      </c>
      <c r="E165" s="613">
        <f t="shared" si="19"/>
        <v>1.3455882352941178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2.6137566137566139</v>
      </c>
      <c r="D166" s="612">
        <f t="shared" si="18"/>
        <v>2.7004608294930876</v>
      </c>
      <c r="E166" s="613">
        <f t="shared" si="19"/>
        <v>8.6704215736473689E-2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3.7575757575757578</v>
      </c>
      <c r="D167" s="612">
        <f t="shared" si="18"/>
        <v>3.8723404255319149</v>
      </c>
      <c r="E167" s="613">
        <f t="shared" si="19"/>
        <v>0.11476466795615714</v>
      </c>
    </row>
    <row r="168" spans="1:5" s="421" customFormat="1" x14ac:dyDescent="0.2">
      <c r="A168" s="588"/>
      <c r="B168" s="592" t="s">
        <v>811</v>
      </c>
      <c r="C168" s="614">
        <f t="shared" si="18"/>
        <v>4.6564651874521807</v>
      </c>
      <c r="D168" s="614">
        <f t="shared" si="18"/>
        <v>4.9768375953942963</v>
      </c>
      <c r="E168" s="615">
        <f t="shared" si="19"/>
        <v>0.32037240794211552</v>
      </c>
    </row>
    <row r="169" spans="1:5" s="421" customFormat="1" x14ac:dyDescent="0.2">
      <c r="A169" s="588"/>
      <c r="B169" s="592" t="s">
        <v>745</v>
      </c>
      <c r="C169" s="614">
        <f t="shared" si="18"/>
        <v>4.2528080028080026</v>
      </c>
      <c r="D169" s="614">
        <f t="shared" si="18"/>
        <v>4.568755846585594</v>
      </c>
      <c r="E169" s="615">
        <f t="shared" si="19"/>
        <v>0.31594784377759133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1.2533000000000001</v>
      </c>
      <c r="D173" s="617">
        <f t="shared" si="20"/>
        <v>1.2708999999999999</v>
      </c>
      <c r="E173" s="618">
        <f t="shared" ref="E173:E181" si="21">D173-C173</f>
        <v>1.7599999999999838E-2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1.4244000000000001</v>
      </c>
      <c r="D174" s="617">
        <f t="shared" si="20"/>
        <v>1.4553</v>
      </c>
      <c r="E174" s="618">
        <f t="shared" si="21"/>
        <v>3.0899999999999928E-2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1.0555388542963886</v>
      </c>
      <c r="D175" s="617">
        <f t="shared" si="20"/>
        <v>1.0496716965046888</v>
      </c>
      <c r="E175" s="618">
        <f t="shared" si="21"/>
        <v>-5.867157791699773E-3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1.0599000000000001</v>
      </c>
      <c r="D176" s="617">
        <f t="shared" si="20"/>
        <v>1.0405</v>
      </c>
      <c r="E176" s="618">
        <f t="shared" si="21"/>
        <v>-1.9400000000000084E-2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0.90539999999999998</v>
      </c>
      <c r="D177" s="617">
        <f t="shared" si="20"/>
        <v>1.3767</v>
      </c>
      <c r="E177" s="618">
        <f t="shared" si="21"/>
        <v>0.47130000000000005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0.73190000000000011</v>
      </c>
      <c r="D178" s="617">
        <f t="shared" si="20"/>
        <v>0.72920000000000007</v>
      </c>
      <c r="E178" s="618">
        <f t="shared" si="21"/>
        <v>-2.7000000000000357E-3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0.99509999999999987</v>
      </c>
      <c r="D179" s="617">
        <f t="shared" si="20"/>
        <v>1.1024</v>
      </c>
      <c r="E179" s="618">
        <f t="shared" si="21"/>
        <v>0.10730000000000017</v>
      </c>
    </row>
    <row r="180" spans="1:5" s="421" customFormat="1" x14ac:dyDescent="0.2">
      <c r="A180" s="588"/>
      <c r="B180" s="592" t="s">
        <v>813</v>
      </c>
      <c r="C180" s="619">
        <f t="shared" si="20"/>
        <v>1.2943988523335885</v>
      </c>
      <c r="D180" s="619">
        <f t="shared" si="20"/>
        <v>1.3067971616012852</v>
      </c>
      <c r="E180" s="620">
        <f t="shared" si="21"/>
        <v>1.2398309267696694E-2</v>
      </c>
    </row>
    <row r="181" spans="1:5" s="421" customFormat="1" x14ac:dyDescent="0.2">
      <c r="A181" s="588"/>
      <c r="B181" s="592" t="s">
        <v>724</v>
      </c>
      <c r="C181" s="619">
        <f t="shared" si="20"/>
        <v>1.2815816075816078</v>
      </c>
      <c r="D181" s="619">
        <f t="shared" si="20"/>
        <v>1.2959810009354535</v>
      </c>
      <c r="E181" s="620">
        <f t="shared" si="21"/>
        <v>1.4399393353845769E-2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226678237</v>
      </c>
      <c r="D185" s="589">
        <v>232933513</v>
      </c>
      <c r="E185" s="590">
        <f>D185-C185</f>
        <v>6255276</v>
      </c>
    </row>
    <row r="186" spans="1:5" s="421" customFormat="1" ht="25.5" x14ac:dyDescent="0.2">
      <c r="A186" s="588">
        <v>2</v>
      </c>
      <c r="B186" s="587" t="s">
        <v>816</v>
      </c>
      <c r="C186" s="589">
        <v>149952877</v>
      </c>
      <c r="D186" s="589">
        <v>155251338</v>
      </c>
      <c r="E186" s="590">
        <f>D186-C186</f>
        <v>5298461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76725360</v>
      </c>
      <c r="D188" s="622">
        <f>+D185-D186</f>
        <v>77682175</v>
      </c>
      <c r="E188" s="590">
        <f t="shared" ref="E188:E197" si="22">D188-C188</f>
        <v>956815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0.33847695753871598</v>
      </c>
      <c r="D189" s="623">
        <f>IF(D185=0,0,+D188/D185)</f>
        <v>0.33349505616222774</v>
      </c>
      <c r="E189" s="599">
        <f t="shared" si="22"/>
        <v>-4.9819013764882403E-3</v>
      </c>
    </row>
    <row r="190" spans="1:5" s="421" customFormat="1" x14ac:dyDescent="0.2">
      <c r="A190" s="588">
        <v>5</v>
      </c>
      <c r="B190" s="587" t="s">
        <v>763</v>
      </c>
      <c r="C190" s="589">
        <v>10885970</v>
      </c>
      <c r="D190" s="589">
        <v>10032789</v>
      </c>
      <c r="E190" s="622">
        <f t="shared" si="22"/>
        <v>-853181</v>
      </c>
    </row>
    <row r="191" spans="1:5" s="421" customFormat="1" x14ac:dyDescent="0.2">
      <c r="A191" s="588">
        <v>6</v>
      </c>
      <c r="B191" s="587" t="s">
        <v>749</v>
      </c>
      <c r="C191" s="589">
        <v>6702893</v>
      </c>
      <c r="D191" s="589">
        <v>6433031</v>
      </c>
      <c r="E191" s="622">
        <f t="shared" si="22"/>
        <v>-269862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5518573</v>
      </c>
      <c r="D193" s="589">
        <v>5111796</v>
      </c>
      <c r="E193" s="622">
        <f t="shared" si="22"/>
        <v>-406777</v>
      </c>
    </row>
    <row r="194" spans="1:5" s="421" customFormat="1" x14ac:dyDescent="0.2">
      <c r="A194" s="588">
        <v>9</v>
      </c>
      <c r="B194" s="587" t="s">
        <v>819</v>
      </c>
      <c r="C194" s="589">
        <v>8822403</v>
      </c>
      <c r="D194" s="589">
        <v>8128981</v>
      </c>
      <c r="E194" s="622">
        <f t="shared" si="22"/>
        <v>-693422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14340976</v>
      </c>
      <c r="D195" s="589">
        <f>+D193+D194</f>
        <v>13240777</v>
      </c>
      <c r="E195" s="625">
        <f t="shared" si="22"/>
        <v>-1100199</v>
      </c>
    </row>
    <row r="196" spans="1:5" s="421" customFormat="1" x14ac:dyDescent="0.2">
      <c r="A196" s="588">
        <v>11</v>
      </c>
      <c r="B196" s="587" t="s">
        <v>821</v>
      </c>
      <c r="C196" s="589">
        <v>7202302</v>
      </c>
      <c r="D196" s="589">
        <v>7047373</v>
      </c>
      <c r="E196" s="622">
        <f t="shared" si="22"/>
        <v>-154929</v>
      </c>
    </row>
    <row r="197" spans="1:5" s="421" customFormat="1" x14ac:dyDescent="0.2">
      <c r="A197" s="588">
        <v>12</v>
      </c>
      <c r="B197" s="587" t="s">
        <v>711</v>
      </c>
      <c r="C197" s="589">
        <v>249935251</v>
      </c>
      <c r="D197" s="589">
        <v>252028161</v>
      </c>
      <c r="E197" s="622">
        <f t="shared" si="22"/>
        <v>2092910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4454.2282000000005</v>
      </c>
      <c r="D203" s="629">
        <v>4093.5688999999998</v>
      </c>
      <c r="E203" s="630">
        <f t="shared" ref="E203:E211" si="23">D203-C203</f>
        <v>-360.65930000000071</v>
      </c>
    </row>
    <row r="204" spans="1:5" s="421" customFormat="1" x14ac:dyDescent="0.2">
      <c r="A204" s="588">
        <v>2</v>
      </c>
      <c r="B204" s="587" t="s">
        <v>636</v>
      </c>
      <c r="C204" s="629">
        <v>7469.5536000000002</v>
      </c>
      <c r="D204" s="629">
        <v>7139.7017999999998</v>
      </c>
      <c r="E204" s="630">
        <f t="shared" si="23"/>
        <v>-329.85180000000037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2542.7931000000003</v>
      </c>
      <c r="D205" s="629">
        <f>D206+D207</f>
        <v>2462.5297999999998</v>
      </c>
      <c r="E205" s="630">
        <f t="shared" si="23"/>
        <v>-80.263300000000527</v>
      </c>
    </row>
    <row r="206" spans="1:5" s="421" customFormat="1" x14ac:dyDescent="0.2">
      <c r="A206" s="588">
        <v>4</v>
      </c>
      <c r="B206" s="587" t="s">
        <v>115</v>
      </c>
      <c r="C206" s="629">
        <v>2481.2259000000004</v>
      </c>
      <c r="D206" s="629">
        <v>2374.4209999999998</v>
      </c>
      <c r="E206" s="630">
        <f t="shared" si="23"/>
        <v>-106.80490000000054</v>
      </c>
    </row>
    <row r="207" spans="1:5" s="421" customFormat="1" x14ac:dyDescent="0.2">
      <c r="A207" s="588">
        <v>5</v>
      </c>
      <c r="B207" s="587" t="s">
        <v>744</v>
      </c>
      <c r="C207" s="629">
        <v>61.5672</v>
      </c>
      <c r="D207" s="629">
        <v>88.108800000000002</v>
      </c>
      <c r="E207" s="630">
        <f t="shared" si="23"/>
        <v>26.541600000000003</v>
      </c>
    </row>
    <row r="208" spans="1:5" s="421" customFormat="1" x14ac:dyDescent="0.2">
      <c r="A208" s="588">
        <v>6</v>
      </c>
      <c r="B208" s="587" t="s">
        <v>424</v>
      </c>
      <c r="C208" s="629">
        <v>138.32910000000001</v>
      </c>
      <c r="D208" s="629">
        <v>158.2364</v>
      </c>
      <c r="E208" s="630">
        <f t="shared" si="23"/>
        <v>19.907299999999992</v>
      </c>
    </row>
    <row r="209" spans="1:5" s="421" customFormat="1" x14ac:dyDescent="0.2">
      <c r="A209" s="588">
        <v>7</v>
      </c>
      <c r="B209" s="587" t="s">
        <v>759</v>
      </c>
      <c r="C209" s="629">
        <v>131.35319999999999</v>
      </c>
      <c r="D209" s="629">
        <v>155.4384</v>
      </c>
      <c r="E209" s="630">
        <f t="shared" si="23"/>
        <v>24.085200000000015</v>
      </c>
    </row>
    <row r="210" spans="1:5" s="421" customFormat="1" x14ac:dyDescent="0.2">
      <c r="A210" s="588"/>
      <c r="B210" s="592" t="s">
        <v>824</v>
      </c>
      <c r="C210" s="631">
        <f>C204+C205+C208</f>
        <v>10150.675800000001</v>
      </c>
      <c r="D210" s="631">
        <f>D204+D205+D208</f>
        <v>9760.4679999999989</v>
      </c>
      <c r="E210" s="632">
        <f t="shared" si="23"/>
        <v>-390.20780000000195</v>
      </c>
    </row>
    <row r="211" spans="1:5" s="421" customFormat="1" x14ac:dyDescent="0.2">
      <c r="A211" s="588"/>
      <c r="B211" s="592" t="s">
        <v>725</v>
      </c>
      <c r="C211" s="631">
        <f>C210+C203</f>
        <v>14604.904000000002</v>
      </c>
      <c r="D211" s="631">
        <f>D210+D203</f>
        <v>13854.036899999999</v>
      </c>
      <c r="E211" s="632">
        <f t="shared" si="23"/>
        <v>-750.86710000000312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9241.1877386491233</v>
      </c>
      <c r="D215" s="633">
        <f>IF(D14*D137=0,0,D25/D14*D137)</f>
        <v>9164.4767269928416</v>
      </c>
      <c r="E215" s="633">
        <f t="shared" ref="E215:E223" si="24">D215-C215</f>
        <v>-76.711011656281698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5274.3005747913621</v>
      </c>
      <c r="D216" s="633">
        <f>IF(D15*D138=0,0,D26/D15*D138)</f>
        <v>5602.6640734525818</v>
      </c>
      <c r="E216" s="633">
        <f t="shared" si="24"/>
        <v>328.36349866121964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5157.6861197601411</v>
      </c>
      <c r="D217" s="633">
        <f>D218+D219</f>
        <v>5558.7544393940998</v>
      </c>
      <c r="E217" s="633">
        <f t="shared" si="24"/>
        <v>401.06831963395871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5024.8114747891123</v>
      </c>
      <c r="D218" s="633">
        <f t="shared" si="25"/>
        <v>5483.8494897365154</v>
      </c>
      <c r="E218" s="633">
        <f t="shared" si="24"/>
        <v>459.0380149474031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132.87464497102883</v>
      </c>
      <c r="D219" s="633">
        <f t="shared" si="25"/>
        <v>74.904949657584112</v>
      </c>
      <c r="E219" s="633">
        <f t="shared" si="24"/>
        <v>-57.969695313444717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569.9867202477667</v>
      </c>
      <c r="D220" s="633">
        <f t="shared" si="25"/>
        <v>607.72654862551178</v>
      </c>
      <c r="E220" s="633">
        <f t="shared" si="24"/>
        <v>37.739828377745084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499.18149102294797</v>
      </c>
      <c r="D221" s="633">
        <f t="shared" si="25"/>
        <v>685.06854390114813</v>
      </c>
      <c r="E221" s="633">
        <f t="shared" si="24"/>
        <v>185.88705287820017</v>
      </c>
    </row>
    <row r="222" spans="1:5" s="421" customFormat="1" x14ac:dyDescent="0.2">
      <c r="A222" s="588"/>
      <c r="B222" s="592" t="s">
        <v>826</v>
      </c>
      <c r="C222" s="634">
        <f>C216+C218+C219+C220</f>
        <v>11001.973414799271</v>
      </c>
      <c r="D222" s="634">
        <f>D216+D218+D219+D220</f>
        <v>11769.145061472193</v>
      </c>
      <c r="E222" s="634">
        <f t="shared" si="24"/>
        <v>767.17164667292127</v>
      </c>
    </row>
    <row r="223" spans="1:5" s="421" customFormat="1" x14ac:dyDescent="0.2">
      <c r="A223" s="588"/>
      <c r="B223" s="592" t="s">
        <v>827</v>
      </c>
      <c r="C223" s="634">
        <f>C215+C222</f>
        <v>20243.161153448396</v>
      </c>
      <c r="D223" s="634">
        <f>D215+D222</f>
        <v>20933.621788465032</v>
      </c>
      <c r="E223" s="634">
        <f t="shared" si="24"/>
        <v>690.46063501663593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11602.997349799005</v>
      </c>
      <c r="D227" s="636">
        <f t="shared" si="26"/>
        <v>12141.043723485393</v>
      </c>
      <c r="E227" s="636">
        <f t="shared" ref="E227:E235" si="27">D227-C227</f>
        <v>538.0463736863876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7271.7050989499558</v>
      </c>
      <c r="D228" s="636">
        <f t="shared" si="26"/>
        <v>8540.34576065908</v>
      </c>
      <c r="E228" s="636">
        <f t="shared" si="27"/>
        <v>1268.6406617091243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4734.2440090780483</v>
      </c>
      <c r="D229" s="636">
        <f t="shared" si="26"/>
        <v>5329.1074893794184</v>
      </c>
      <c r="E229" s="636">
        <f t="shared" si="27"/>
        <v>594.86348030137015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4722.4877831558979</v>
      </c>
      <c r="D230" s="636">
        <f t="shared" si="26"/>
        <v>5071.2653737479586</v>
      </c>
      <c r="E230" s="636">
        <f t="shared" si="27"/>
        <v>348.77759059206073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5208.0328486596763</v>
      </c>
      <c r="D231" s="636">
        <f t="shared" si="26"/>
        <v>12277.627206363042</v>
      </c>
      <c r="E231" s="636">
        <f t="shared" si="27"/>
        <v>7069.5943577033659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6609.8456506982257</v>
      </c>
      <c r="D232" s="636">
        <f t="shared" si="26"/>
        <v>6851.4703317315107</v>
      </c>
      <c r="E232" s="636">
        <f t="shared" si="27"/>
        <v>241.62468103328501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3756.3378737632584</v>
      </c>
      <c r="D233" s="636">
        <f t="shared" si="26"/>
        <v>2527.747326272015</v>
      </c>
      <c r="E233" s="636">
        <f t="shared" si="27"/>
        <v>-1228.5905474912433</v>
      </c>
    </row>
    <row r="234" spans="1:5" x14ac:dyDescent="0.2">
      <c r="A234" s="588"/>
      <c r="B234" s="592" t="s">
        <v>829</v>
      </c>
      <c r="C234" s="637">
        <f t="shared" si="26"/>
        <v>6627.039354364957</v>
      </c>
      <c r="D234" s="637">
        <f t="shared" si="26"/>
        <v>7702.7822846199597</v>
      </c>
      <c r="E234" s="637">
        <f t="shared" si="27"/>
        <v>1075.7429302550026</v>
      </c>
    </row>
    <row r="235" spans="1:5" s="421" customFormat="1" x14ac:dyDescent="0.2">
      <c r="A235" s="588"/>
      <c r="B235" s="592" t="s">
        <v>830</v>
      </c>
      <c r="C235" s="637">
        <f t="shared" si="26"/>
        <v>8144.6153976773812</v>
      </c>
      <c r="D235" s="637">
        <f t="shared" si="26"/>
        <v>9014.1927512839247</v>
      </c>
      <c r="E235" s="637">
        <f t="shared" si="27"/>
        <v>869.57735360654351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11086.622076890806</v>
      </c>
      <c r="D239" s="636">
        <f t="shared" si="28"/>
        <v>11910.215962304692</v>
      </c>
      <c r="E239" s="638">
        <f t="shared" ref="E239:E247" si="29">D239-C239</f>
        <v>823.5938854138858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6010.9520779926561</v>
      </c>
      <c r="D240" s="636">
        <f t="shared" si="28"/>
        <v>6815.0964433015388</v>
      </c>
      <c r="E240" s="638">
        <f t="shared" si="29"/>
        <v>804.1443653088827</v>
      </c>
    </row>
    <row r="241" spans="1:5" x14ac:dyDescent="0.2">
      <c r="A241" s="588">
        <v>3</v>
      </c>
      <c r="B241" s="587" t="s">
        <v>778</v>
      </c>
      <c r="C241" s="636">
        <f t="shared" si="28"/>
        <v>3881.1764685150974</v>
      </c>
      <c r="D241" s="636">
        <f t="shared" si="28"/>
        <v>4276.0032412208575</v>
      </c>
      <c r="E241" s="638">
        <f t="shared" si="29"/>
        <v>394.82677270576005</v>
      </c>
    </row>
    <row r="242" spans="1:5" x14ac:dyDescent="0.2">
      <c r="A242" s="588">
        <v>4</v>
      </c>
      <c r="B242" s="587" t="s">
        <v>115</v>
      </c>
      <c r="C242" s="636">
        <f t="shared" si="28"/>
        <v>3883.5309738300161</v>
      </c>
      <c r="D242" s="636">
        <f t="shared" si="28"/>
        <v>4263.9481706715269</v>
      </c>
      <c r="E242" s="638">
        <f t="shared" si="29"/>
        <v>380.41719684151076</v>
      </c>
    </row>
    <row r="243" spans="1:5" x14ac:dyDescent="0.2">
      <c r="A243" s="588">
        <v>5</v>
      </c>
      <c r="B243" s="587" t="s">
        <v>744</v>
      </c>
      <c r="C243" s="636">
        <f t="shared" si="28"/>
        <v>3792.1380720141356</v>
      </c>
      <c r="D243" s="636">
        <f t="shared" si="28"/>
        <v>5158.5643107214464</v>
      </c>
      <c r="E243" s="638">
        <f t="shared" si="29"/>
        <v>1366.4262387073109</v>
      </c>
    </row>
    <row r="244" spans="1:5" x14ac:dyDescent="0.2">
      <c r="A244" s="588">
        <v>6</v>
      </c>
      <c r="B244" s="587" t="s">
        <v>424</v>
      </c>
      <c r="C244" s="636">
        <f t="shared" si="28"/>
        <v>3115.884873998446</v>
      </c>
      <c r="D244" s="636">
        <f t="shared" si="28"/>
        <v>3465.2822141191455</v>
      </c>
      <c r="E244" s="638">
        <f t="shared" si="29"/>
        <v>349.39734012069948</v>
      </c>
    </row>
    <row r="245" spans="1:5" x14ac:dyDescent="0.2">
      <c r="A245" s="588">
        <v>7</v>
      </c>
      <c r="B245" s="587" t="s">
        <v>759</v>
      </c>
      <c r="C245" s="636">
        <f t="shared" si="28"/>
        <v>3790.3208232394577</v>
      </c>
      <c r="D245" s="636">
        <f t="shared" si="28"/>
        <v>2615.5747712429697</v>
      </c>
      <c r="E245" s="638">
        <f t="shared" si="29"/>
        <v>-1174.7460519964879</v>
      </c>
    </row>
    <row r="246" spans="1:5" ht="25.5" x14ac:dyDescent="0.2">
      <c r="A246" s="588"/>
      <c r="B246" s="592" t="s">
        <v>832</v>
      </c>
      <c r="C246" s="637">
        <f t="shared" si="28"/>
        <v>4862.5341093842344</v>
      </c>
      <c r="D246" s="637">
        <f t="shared" si="28"/>
        <v>5442.8670617462039</v>
      </c>
      <c r="E246" s="639">
        <f t="shared" si="29"/>
        <v>580.33295236196955</v>
      </c>
    </row>
    <row r="247" spans="1:5" x14ac:dyDescent="0.2">
      <c r="A247" s="588"/>
      <c r="B247" s="592" t="s">
        <v>833</v>
      </c>
      <c r="C247" s="637">
        <f t="shared" si="28"/>
        <v>7703.8870469809972</v>
      </c>
      <c r="D247" s="637">
        <f t="shared" si="28"/>
        <v>8274.1911911030384</v>
      </c>
      <c r="E247" s="639">
        <f t="shared" si="29"/>
        <v>570.30414412204118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10689889.975904956</v>
      </c>
      <c r="D251" s="622">
        <f>((IF((IF(D15=0,0,D26/D15)*D138)=0,0,D59/(IF(D15=0,0,D26/D15)*D138)))-(IF((IF(D17=0,0,D28/D17)*D140)=0,0,D61/(IF(D17=0,0,D28/D17)*D140))))*(IF(D17=0,0,D28/D17)*D140)</f>
        <v>13990113.153104283</v>
      </c>
      <c r="E251" s="622">
        <f>D251-C251</f>
        <v>3300223.1771993265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421878.64546921384</v>
      </c>
      <c r="D252" s="622">
        <f>IF(D231=0,0,(D228-D231)*D207)+IF(D243=0,0,(D240-D243)*D219)</f>
        <v>-205204.92744615901</v>
      </c>
      <c r="E252" s="622">
        <f>D252-C252</f>
        <v>-627083.5729153729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1570252.7549632548</v>
      </c>
      <c r="D253" s="622">
        <f>IF(D233=0,0,(D228-D233)*D209+IF(D221=0,0,(D240-D245)*D221))</f>
        <v>3811548.8774421089</v>
      </c>
      <c r="E253" s="622">
        <f>D253-C253</f>
        <v>2241296.1224788539</v>
      </c>
    </row>
    <row r="254" spans="1:5" ht="15" customHeight="1" x14ac:dyDescent="0.2">
      <c r="A254" s="588"/>
      <c r="B254" s="592" t="s">
        <v>760</v>
      </c>
      <c r="C254" s="640">
        <f>+C251+C252+C253</f>
        <v>12682021.376337426</v>
      </c>
      <c r="D254" s="640">
        <f>+D251+D252+D253</f>
        <v>17596457.103100233</v>
      </c>
      <c r="E254" s="640">
        <f>D254-C254</f>
        <v>4914435.726762807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650427340</v>
      </c>
      <c r="D258" s="625">
        <f>+D44</f>
        <v>701705462</v>
      </c>
      <c r="E258" s="622">
        <f t="shared" ref="E258:E271" si="30">D258-C258</f>
        <v>51278122</v>
      </c>
    </row>
    <row r="259" spans="1:5" x14ac:dyDescent="0.2">
      <c r="A259" s="588">
        <v>2</v>
      </c>
      <c r="B259" s="587" t="s">
        <v>743</v>
      </c>
      <c r="C259" s="622">
        <f>+(C43-C76)</f>
        <v>277755758</v>
      </c>
      <c r="D259" s="625">
        <f>+(D43-D76)</f>
        <v>306257731</v>
      </c>
      <c r="E259" s="622">
        <f t="shared" si="30"/>
        <v>28501973</v>
      </c>
    </row>
    <row r="260" spans="1:5" x14ac:dyDescent="0.2">
      <c r="A260" s="588">
        <v>3</v>
      </c>
      <c r="B260" s="587" t="s">
        <v>747</v>
      </c>
      <c r="C260" s="622">
        <f>C195</f>
        <v>14340976</v>
      </c>
      <c r="D260" s="622">
        <f>D195</f>
        <v>13240777</v>
      </c>
      <c r="E260" s="622">
        <f t="shared" si="30"/>
        <v>-1100199</v>
      </c>
    </row>
    <row r="261" spans="1:5" x14ac:dyDescent="0.2">
      <c r="A261" s="588">
        <v>4</v>
      </c>
      <c r="B261" s="587" t="s">
        <v>748</v>
      </c>
      <c r="C261" s="622">
        <f>C188</f>
        <v>76725360</v>
      </c>
      <c r="D261" s="622">
        <f>D188</f>
        <v>77682175</v>
      </c>
      <c r="E261" s="622">
        <f t="shared" si="30"/>
        <v>956815</v>
      </c>
    </row>
    <row r="262" spans="1:5" x14ac:dyDescent="0.2">
      <c r="A262" s="588">
        <v>5</v>
      </c>
      <c r="B262" s="587" t="s">
        <v>749</v>
      </c>
      <c r="C262" s="622">
        <f>C191</f>
        <v>6702893</v>
      </c>
      <c r="D262" s="622">
        <f>D191</f>
        <v>6433031</v>
      </c>
      <c r="E262" s="622">
        <f t="shared" si="30"/>
        <v>-269862</v>
      </c>
    </row>
    <row r="263" spans="1:5" x14ac:dyDescent="0.2">
      <c r="A263" s="588">
        <v>6</v>
      </c>
      <c r="B263" s="587" t="s">
        <v>750</v>
      </c>
      <c r="C263" s="622">
        <f>+C259+C260+C261+C262</f>
        <v>375524987</v>
      </c>
      <c r="D263" s="622">
        <f>+D259+D260+D261+D262</f>
        <v>403613714</v>
      </c>
      <c r="E263" s="622">
        <f t="shared" si="30"/>
        <v>28088727</v>
      </c>
    </row>
    <row r="264" spans="1:5" x14ac:dyDescent="0.2">
      <c r="A264" s="588">
        <v>7</v>
      </c>
      <c r="B264" s="587" t="s">
        <v>655</v>
      </c>
      <c r="C264" s="622">
        <f>+C258-C263</f>
        <v>274902353</v>
      </c>
      <c r="D264" s="622">
        <f>+D258-D263</f>
        <v>298091748</v>
      </c>
      <c r="E264" s="622">
        <f t="shared" si="30"/>
        <v>23189395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274902353</v>
      </c>
      <c r="D266" s="622">
        <f>+D264+D265</f>
        <v>298091748</v>
      </c>
      <c r="E266" s="641">
        <f t="shared" si="30"/>
        <v>23189395</v>
      </c>
    </row>
    <row r="267" spans="1:5" x14ac:dyDescent="0.2">
      <c r="A267" s="588">
        <v>10</v>
      </c>
      <c r="B267" s="587" t="s">
        <v>838</v>
      </c>
      <c r="C267" s="642">
        <f>IF(C258=0,0,C266/C258)</f>
        <v>0.42264882807663035</v>
      </c>
      <c r="D267" s="642">
        <f>IF(D258=0,0,D266/D258)</f>
        <v>0.42481035725499311</v>
      </c>
      <c r="E267" s="643">
        <f t="shared" si="30"/>
        <v>2.1615291783627644E-3</v>
      </c>
    </row>
    <row r="268" spans="1:5" x14ac:dyDescent="0.2">
      <c r="A268" s="588">
        <v>11</v>
      </c>
      <c r="B268" s="587" t="s">
        <v>717</v>
      </c>
      <c r="C268" s="622">
        <f>+C260*C267</f>
        <v>6061196.6998750819</v>
      </c>
      <c r="D268" s="644">
        <f>+D260*D267</f>
        <v>5624819.2077036956</v>
      </c>
      <c r="E268" s="622">
        <f t="shared" si="30"/>
        <v>-436377.49217138626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21203043.883725122</v>
      </c>
      <c r="D269" s="644">
        <f>((D17+D18+D28+D29)*D267)-(D50+D51+D61+D62)</f>
        <v>25119004.281373598</v>
      </c>
      <c r="E269" s="622">
        <f t="shared" si="30"/>
        <v>3915960.3976484761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27264240.583600204</v>
      </c>
      <c r="D271" s="622">
        <f>+D268+D269+D270</f>
        <v>30743823.489077292</v>
      </c>
      <c r="E271" s="625">
        <f t="shared" si="30"/>
        <v>3479582.9054770879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0.73864334948697685</v>
      </c>
      <c r="D276" s="623">
        <f t="shared" si="31"/>
        <v>0.7459144239370995</v>
      </c>
      <c r="E276" s="650">
        <f t="shared" ref="E276:E284" si="32">D276-C276</f>
        <v>7.2710744501226499E-3</v>
      </c>
    </row>
    <row r="277" spans="1:5" x14ac:dyDescent="0.2">
      <c r="A277" s="588">
        <v>2</v>
      </c>
      <c r="B277" s="587" t="s">
        <v>636</v>
      </c>
      <c r="C277" s="623">
        <f t="shared" si="31"/>
        <v>0.41419695364131148</v>
      </c>
      <c r="D277" s="623">
        <f t="shared" si="31"/>
        <v>0.45280602998354497</v>
      </c>
      <c r="E277" s="650">
        <f t="shared" si="32"/>
        <v>3.8609076342233484E-2</v>
      </c>
    </row>
    <row r="278" spans="1:5" x14ac:dyDescent="0.2">
      <c r="A278" s="588">
        <v>3</v>
      </c>
      <c r="B278" s="587" t="s">
        <v>778</v>
      </c>
      <c r="C278" s="623">
        <f t="shared" si="31"/>
        <v>0.30012117331388871</v>
      </c>
      <c r="D278" s="623">
        <f t="shared" si="31"/>
        <v>0.3011691197074573</v>
      </c>
      <c r="E278" s="650">
        <f t="shared" si="32"/>
        <v>1.0479463935685884E-3</v>
      </c>
    </row>
    <row r="279" spans="1:5" x14ac:dyDescent="0.2">
      <c r="A279" s="588">
        <v>4</v>
      </c>
      <c r="B279" s="587" t="s">
        <v>115</v>
      </c>
      <c r="C279" s="623">
        <f t="shared" si="31"/>
        <v>0.29967944754605391</v>
      </c>
      <c r="D279" s="623">
        <f t="shared" si="31"/>
        <v>0.28876929671106938</v>
      </c>
      <c r="E279" s="650">
        <f t="shared" si="32"/>
        <v>-1.0910150834984533E-2</v>
      </c>
    </row>
    <row r="280" spans="1:5" x14ac:dyDescent="0.2">
      <c r="A280" s="588">
        <v>5</v>
      </c>
      <c r="B280" s="587" t="s">
        <v>744</v>
      </c>
      <c r="C280" s="623">
        <f t="shared" si="31"/>
        <v>0.31720768910393704</v>
      </c>
      <c r="D280" s="623">
        <f t="shared" si="31"/>
        <v>0.57692424611705551</v>
      </c>
      <c r="E280" s="650">
        <f t="shared" si="32"/>
        <v>0.25971655701311847</v>
      </c>
    </row>
    <row r="281" spans="1:5" x14ac:dyDescent="0.2">
      <c r="A281" s="588">
        <v>6</v>
      </c>
      <c r="B281" s="587" t="s">
        <v>424</v>
      </c>
      <c r="C281" s="623">
        <f t="shared" si="31"/>
        <v>0.38738287960987761</v>
      </c>
      <c r="D281" s="623">
        <f t="shared" si="31"/>
        <v>0.37191093913213508</v>
      </c>
      <c r="E281" s="650">
        <f t="shared" si="32"/>
        <v>-1.547194047774253E-2</v>
      </c>
    </row>
    <row r="282" spans="1:5" x14ac:dyDescent="0.2">
      <c r="A282" s="588">
        <v>7</v>
      </c>
      <c r="B282" s="587" t="s">
        <v>759</v>
      </c>
      <c r="C282" s="623">
        <f t="shared" si="31"/>
        <v>0.16296321984859893</v>
      </c>
      <c r="D282" s="623">
        <f t="shared" si="31"/>
        <v>0.17682736931546109</v>
      </c>
      <c r="E282" s="650">
        <f t="shared" si="32"/>
        <v>1.3864149466862152E-2</v>
      </c>
    </row>
    <row r="283" spans="1:5" ht="29.25" customHeight="1" x14ac:dyDescent="0.2">
      <c r="A283" s="588"/>
      <c r="B283" s="592" t="s">
        <v>845</v>
      </c>
      <c r="C283" s="651">
        <f t="shared" si="31"/>
        <v>0.38747585055861433</v>
      </c>
      <c r="D283" s="651">
        <f t="shared" si="31"/>
        <v>0.41502959886521229</v>
      </c>
      <c r="E283" s="652">
        <f t="shared" si="32"/>
        <v>2.7553748306597958E-2</v>
      </c>
    </row>
    <row r="284" spans="1:5" x14ac:dyDescent="0.2">
      <c r="A284" s="588"/>
      <c r="B284" s="592" t="s">
        <v>846</v>
      </c>
      <c r="C284" s="651">
        <f t="shared" si="31"/>
        <v>0.48835122873280279</v>
      </c>
      <c r="D284" s="651">
        <f t="shared" si="31"/>
        <v>0.50400691134984765</v>
      </c>
      <c r="E284" s="652">
        <f t="shared" si="32"/>
        <v>1.5655682617044864E-2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0.56313017926776809</v>
      </c>
      <c r="D287" s="623">
        <f t="shared" si="33"/>
        <v>0.57575966749374408</v>
      </c>
      <c r="E287" s="650">
        <f t="shared" ref="E287:E295" si="34">D287-C287</f>
        <v>1.2629488225975982E-2</v>
      </c>
    </row>
    <row r="288" spans="1:5" x14ac:dyDescent="0.2">
      <c r="A288" s="588">
        <v>2</v>
      </c>
      <c r="B288" s="587" t="s">
        <v>636</v>
      </c>
      <c r="C288" s="623">
        <f t="shared" si="33"/>
        <v>0.24037092960584089</v>
      </c>
      <c r="D288" s="623">
        <f t="shared" si="33"/>
        <v>0.24828828273702649</v>
      </c>
      <c r="E288" s="650">
        <f t="shared" si="34"/>
        <v>7.917353131185606E-3</v>
      </c>
    </row>
    <row r="289" spans="1:5" x14ac:dyDescent="0.2">
      <c r="A289" s="588">
        <v>3</v>
      </c>
      <c r="B289" s="587" t="s">
        <v>778</v>
      </c>
      <c r="C289" s="623">
        <f t="shared" si="33"/>
        <v>0.23303280108945121</v>
      </c>
      <c r="D289" s="623">
        <f t="shared" si="33"/>
        <v>0.23212076964528847</v>
      </c>
      <c r="E289" s="650">
        <f t="shared" si="34"/>
        <v>-9.1203144416274196E-4</v>
      </c>
    </row>
    <row r="290" spans="1:5" x14ac:dyDescent="0.2">
      <c r="A290" s="588">
        <v>4</v>
      </c>
      <c r="B290" s="587" t="s">
        <v>115</v>
      </c>
      <c r="C290" s="623">
        <f t="shared" si="33"/>
        <v>0.23251340570572135</v>
      </c>
      <c r="D290" s="623">
        <f t="shared" si="33"/>
        <v>0.2333482296741316</v>
      </c>
      <c r="E290" s="650">
        <f t="shared" si="34"/>
        <v>8.3482396841025319E-4</v>
      </c>
    </row>
    <row r="291" spans="1:5" x14ac:dyDescent="0.2">
      <c r="A291" s="588">
        <v>5</v>
      </c>
      <c r="B291" s="587" t="s">
        <v>744</v>
      </c>
      <c r="C291" s="623">
        <f t="shared" si="33"/>
        <v>0.25510187033561543</v>
      </c>
      <c r="D291" s="623">
        <f t="shared" si="33"/>
        <v>0.17607345469458432</v>
      </c>
      <c r="E291" s="650">
        <f t="shared" si="34"/>
        <v>-7.9028415641031108E-2</v>
      </c>
    </row>
    <row r="292" spans="1:5" x14ac:dyDescent="0.2">
      <c r="A292" s="588">
        <v>6</v>
      </c>
      <c r="B292" s="587" t="s">
        <v>424</v>
      </c>
      <c r="C292" s="623">
        <f t="shared" si="33"/>
        <v>0.24950471709378583</v>
      </c>
      <c r="D292" s="623">
        <f t="shared" si="33"/>
        <v>0.2579568830630512</v>
      </c>
      <c r="E292" s="650">
        <f t="shared" si="34"/>
        <v>8.4521659692653739E-3</v>
      </c>
    </row>
    <row r="293" spans="1:5" x14ac:dyDescent="0.2">
      <c r="A293" s="588">
        <v>7</v>
      </c>
      <c r="B293" s="587" t="s">
        <v>759</v>
      </c>
      <c r="C293" s="623">
        <f t="shared" si="33"/>
        <v>0.1652472318006977</v>
      </c>
      <c r="D293" s="623">
        <f t="shared" si="33"/>
        <v>0.16597541428828669</v>
      </c>
      <c r="E293" s="650">
        <f t="shared" si="34"/>
        <v>7.2818248758899085E-4</v>
      </c>
    </row>
    <row r="294" spans="1:5" ht="29.25" customHeight="1" x14ac:dyDescent="0.2">
      <c r="A294" s="588"/>
      <c r="B294" s="592" t="s">
        <v>848</v>
      </c>
      <c r="C294" s="651">
        <f t="shared" si="33"/>
        <v>0.23785734219673479</v>
      </c>
      <c r="D294" s="651">
        <f t="shared" si="33"/>
        <v>0.24232407924241509</v>
      </c>
      <c r="E294" s="652">
        <f t="shared" si="34"/>
        <v>4.4667370456802913E-3</v>
      </c>
    </row>
    <row r="295" spans="1:5" x14ac:dyDescent="0.2">
      <c r="A295" s="588"/>
      <c r="B295" s="592" t="s">
        <v>849</v>
      </c>
      <c r="C295" s="651">
        <f t="shared" si="33"/>
        <v>0.38331338990290553</v>
      </c>
      <c r="D295" s="651">
        <f t="shared" si="33"/>
        <v>0.38158001539156633</v>
      </c>
      <c r="E295" s="652">
        <f t="shared" si="34"/>
        <v>-1.733374511339203E-3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274902353</v>
      </c>
      <c r="D301" s="590">
        <f>+D48+D47+D50+D51+D52+D59+D58+D61+D62+D63</f>
        <v>298091748</v>
      </c>
      <c r="E301" s="590">
        <f>D301-C301</f>
        <v>23189395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274902353</v>
      </c>
      <c r="D303" s="593">
        <f>+D301+D302</f>
        <v>298091748</v>
      </c>
      <c r="E303" s="593">
        <f>D303-C303</f>
        <v>23189395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-6893526</v>
      </c>
      <c r="D305" s="654">
        <v>-4473809</v>
      </c>
      <c r="E305" s="655">
        <f>D305-C305</f>
        <v>2419717</v>
      </c>
    </row>
    <row r="306" spans="1:5" x14ac:dyDescent="0.2">
      <c r="A306" s="588">
        <v>4</v>
      </c>
      <c r="B306" s="592" t="s">
        <v>856</v>
      </c>
      <c r="C306" s="593">
        <f>+C303+C305+C194+C190-C191</f>
        <v>281014307</v>
      </c>
      <c r="D306" s="593">
        <f>+D303+D305</f>
        <v>293617939</v>
      </c>
      <c r="E306" s="656">
        <f>D306-C306</f>
        <v>12603632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268008827</v>
      </c>
      <c r="D308" s="589">
        <v>293617939</v>
      </c>
      <c r="E308" s="590">
        <f>D308-C308</f>
        <v>25609112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13005480</v>
      </c>
      <c r="D310" s="658">
        <f>D306-D308</f>
        <v>0</v>
      </c>
      <c r="E310" s="656">
        <f>D310-C310</f>
        <v>-13005480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650427340</v>
      </c>
      <c r="D314" s="590">
        <f>+D14+D15+D16+D19+D25+D26+D27+D30</f>
        <v>701705462</v>
      </c>
      <c r="E314" s="590">
        <f>D314-C314</f>
        <v>51278122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650427340</v>
      </c>
      <c r="D316" s="657">
        <f>D314+D315</f>
        <v>701705462</v>
      </c>
      <c r="E316" s="593">
        <f>D316-C316</f>
        <v>51278122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650427340</v>
      </c>
      <c r="D318" s="589">
        <v>701705462</v>
      </c>
      <c r="E318" s="590">
        <f>D318-C318</f>
        <v>51278122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14340976</v>
      </c>
      <c r="D324" s="589">
        <f>+D193+D194</f>
        <v>13240777</v>
      </c>
      <c r="E324" s="590">
        <f>D324-C324</f>
        <v>-1100199</v>
      </c>
    </row>
    <row r="325" spans="1:5" x14ac:dyDescent="0.2">
      <c r="A325" s="588">
        <v>2</v>
      </c>
      <c r="B325" s="587" t="s">
        <v>866</v>
      </c>
      <c r="C325" s="589">
        <v>174038</v>
      </c>
      <c r="D325" s="589">
        <v>58482</v>
      </c>
      <c r="E325" s="590">
        <f>D325-C325</f>
        <v>-115556</v>
      </c>
    </row>
    <row r="326" spans="1:5" x14ac:dyDescent="0.2">
      <c r="A326" s="588"/>
      <c r="B326" s="592" t="s">
        <v>867</v>
      </c>
      <c r="C326" s="657">
        <f>C324+C325</f>
        <v>14515014</v>
      </c>
      <c r="D326" s="657">
        <f>D324+D325</f>
        <v>13299259</v>
      </c>
      <c r="E326" s="593">
        <f>D326-C326</f>
        <v>-1215755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14515014</v>
      </c>
      <c r="D328" s="589">
        <v>13299258</v>
      </c>
      <c r="E328" s="590">
        <f>D328-C328</f>
        <v>-1215756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1</v>
      </c>
      <c r="E330" s="593">
        <f>D330-C330</f>
        <v>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7" fitToHeight="0" orientation="portrait" horizontalDpi="1200" verticalDpi="1200" r:id="rId1"/>
  <headerFooter>
    <oddHeader>_x000D_
                &amp;LOFFICE OF HEALTH CARE ACCESS&amp;CTWELVE MONTHS ACTUAL FILING&amp;RWILLIAM W. BACKUS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66629894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134661462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43573810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41698751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1875059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2915085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2221992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181150357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247780251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189577185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153783721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102400367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100205817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2194550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8163938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10795864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264348026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453925211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256207079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445498383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701705462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49700199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60975522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13123086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12041319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1081767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1084152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392909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75182760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124882959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109150897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38182696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23769252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23382850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386402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2105944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1791848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64057892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173208789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158851096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139240652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298091748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3221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4906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2346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2282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64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217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141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7469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10690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1.2708999999999999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1.4553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1.0496716965046888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1.0405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1.3767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0.72919999999999996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1.1024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1.3067971616012852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1.2959810009354535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232933513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155251338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77682175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0.33349505616222774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10032789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6433031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5111796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8128981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13240777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7047373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252028161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298091748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298091748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-4473809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293617939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293617939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701705462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701705462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701705462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13240777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58482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13299259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13299258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1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FILING&amp;RWILLIAM W. BACKUS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2371</v>
      </c>
      <c r="D12" s="185">
        <v>2283</v>
      </c>
      <c r="E12" s="185">
        <f>+D12-C12</f>
        <v>-88</v>
      </c>
      <c r="F12" s="77">
        <f>IF(C12=0,0,+E12/C12)</f>
        <v>-3.7115141290594685E-2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2080</v>
      </c>
      <c r="D13" s="185">
        <v>2013</v>
      </c>
      <c r="E13" s="185">
        <f>+D13-C13</f>
        <v>-67</v>
      </c>
      <c r="F13" s="77">
        <f>IF(C13=0,0,+E13/C13)</f>
        <v>-3.2211538461538458E-2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5518573</v>
      </c>
      <c r="D15" s="76">
        <v>5111796</v>
      </c>
      <c r="E15" s="76">
        <f>+D15-C15</f>
        <v>-406777</v>
      </c>
      <c r="F15" s="77">
        <f>IF(C15=0,0,+E15/C15)</f>
        <v>-7.3710540750299036E-2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2653.1600961538461</v>
      </c>
      <c r="D16" s="79">
        <f>IF(D13=0,0,+D15/+D13)</f>
        <v>2539.3919523099853</v>
      </c>
      <c r="E16" s="79">
        <f>+D16-C16</f>
        <v>-113.7681438438608</v>
      </c>
      <c r="F16" s="80">
        <f>IF(C16=0,0,+E16/C16)</f>
        <v>-4.2880240815013314E-2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0.42394799999999999</v>
      </c>
      <c r="D18" s="704">
        <v>0.38005499999999998</v>
      </c>
      <c r="E18" s="704">
        <f>+D18-C18</f>
        <v>-4.3893000000000015E-2</v>
      </c>
      <c r="F18" s="77">
        <f>IF(C18=0,0,+E18/C18)</f>
        <v>-0.1035339239718079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2339587.9862039997</v>
      </c>
      <c r="D19" s="79">
        <f>+D15*D18</f>
        <v>1942763.6287799999</v>
      </c>
      <c r="E19" s="79">
        <f>+D19-C19</f>
        <v>-396824.35742399981</v>
      </c>
      <c r="F19" s="80">
        <f>IF(C19=0,0,+E19/C19)</f>
        <v>-0.16961292320014454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1124.8019164442305</v>
      </c>
      <c r="D20" s="79">
        <f>IF(D13=0,0,+D19/D13)</f>
        <v>965.10860843517139</v>
      </c>
      <c r="E20" s="79">
        <f>+D20-C20</f>
        <v>-159.69330800905914</v>
      </c>
      <c r="F20" s="80">
        <f>IF(C20=0,0,+E20/C20)</f>
        <v>-0.14197460519438668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1160267</v>
      </c>
      <c r="D22" s="76">
        <v>1092936</v>
      </c>
      <c r="E22" s="76">
        <f>+D22-C22</f>
        <v>-67331</v>
      </c>
      <c r="F22" s="77">
        <f>IF(C22=0,0,+E22/C22)</f>
        <v>-5.8030608472015494E-2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2401028</v>
      </c>
      <c r="D23" s="185">
        <v>2288970</v>
      </c>
      <c r="E23" s="185">
        <f>+D23-C23</f>
        <v>-112058</v>
      </c>
      <c r="F23" s="77">
        <f>IF(C23=0,0,+E23/C23)</f>
        <v>-4.6670842655729128E-2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1957278</v>
      </c>
      <c r="D24" s="185">
        <v>1729890</v>
      </c>
      <c r="E24" s="185">
        <f>+D24-C24</f>
        <v>-227388</v>
      </c>
      <c r="F24" s="77">
        <f>IF(C24=0,0,+E24/C24)</f>
        <v>-0.11617562758075245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5518573</v>
      </c>
      <c r="D25" s="79">
        <f>+D22+D23+D24</f>
        <v>5111796</v>
      </c>
      <c r="E25" s="79">
        <f>+E22+E23+E24</f>
        <v>-406777</v>
      </c>
      <c r="F25" s="80">
        <f>IF(C25=0,0,+E25/C25)</f>
        <v>-7.3710540750299036E-2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1883</v>
      </c>
      <c r="D27" s="185">
        <v>1610</v>
      </c>
      <c r="E27" s="185">
        <f>+D27-C27</f>
        <v>-273</v>
      </c>
      <c r="F27" s="77">
        <f>IF(C27=0,0,+E27/C27)</f>
        <v>-0.1449814126394052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436</v>
      </c>
      <c r="D28" s="185">
        <v>394</v>
      </c>
      <c r="E28" s="185">
        <f>+D28-C28</f>
        <v>-42</v>
      </c>
      <c r="F28" s="77">
        <f>IF(C28=0,0,+E28/C28)</f>
        <v>-9.6330275229357804E-2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2246</v>
      </c>
      <c r="D29" s="185">
        <v>2273</v>
      </c>
      <c r="E29" s="185">
        <f>+D29-C29</f>
        <v>27</v>
      </c>
      <c r="F29" s="77">
        <f>IF(C29=0,0,+E29/C29)</f>
        <v>1.2021371326803205E-2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5168</v>
      </c>
      <c r="D30" s="185">
        <v>5797</v>
      </c>
      <c r="E30" s="185">
        <f>+D30-C30</f>
        <v>629</v>
      </c>
      <c r="F30" s="77">
        <f>IF(C30=0,0,+E30/C30)</f>
        <v>0.12171052631578948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1289352</v>
      </c>
      <c r="D33" s="76">
        <v>1267806</v>
      </c>
      <c r="E33" s="76">
        <f>+D33-C33</f>
        <v>-21546</v>
      </c>
      <c r="F33" s="77">
        <f>IF(C33=0,0,+E33/C33)</f>
        <v>-1.6710719803436146E-2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2338581</v>
      </c>
      <c r="D34" s="185">
        <v>2220206</v>
      </c>
      <c r="E34" s="185">
        <f>+D34-C34</f>
        <v>-118375</v>
      </c>
      <c r="F34" s="77">
        <f>IF(C34=0,0,+E34/C34)</f>
        <v>-5.0618302295280769E-2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5194470</v>
      </c>
      <c r="D35" s="185">
        <v>4640969</v>
      </c>
      <c r="E35" s="185">
        <f>+D35-C35</f>
        <v>-553501</v>
      </c>
      <c r="F35" s="77">
        <f>IF(C35=0,0,+E35/C35)</f>
        <v>-0.10655581801415737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8822403</v>
      </c>
      <c r="D36" s="79">
        <f>+D33+D34+D35</f>
        <v>8128981</v>
      </c>
      <c r="E36" s="79">
        <f>+E33+E34+E35</f>
        <v>-693422</v>
      </c>
      <c r="F36" s="80">
        <f>IF(C36=0,0,+E36/C36)</f>
        <v>-7.8597860469534209E-2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5518573</v>
      </c>
      <c r="D39" s="76">
        <f>+D25</f>
        <v>5111796</v>
      </c>
      <c r="E39" s="76">
        <f>+D39-C39</f>
        <v>-406777</v>
      </c>
      <c r="F39" s="77">
        <f>IF(C39=0,0,+E39/C39)</f>
        <v>-7.3710540750299036E-2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8822403</v>
      </c>
      <c r="D40" s="185">
        <f>+D36</f>
        <v>8128981</v>
      </c>
      <c r="E40" s="185">
        <f>+D40-C40</f>
        <v>-693422</v>
      </c>
      <c r="F40" s="77">
        <f>IF(C40=0,0,+E40/C40)</f>
        <v>-7.8597860469534209E-2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14340976</v>
      </c>
      <c r="D41" s="79">
        <f>+D39+D40</f>
        <v>13240777</v>
      </c>
      <c r="E41" s="79">
        <f>+E39+E40</f>
        <v>-1100199</v>
      </c>
      <c r="F41" s="80">
        <f>IF(C41=0,0,+E41/C41)</f>
        <v>-7.6717163462235768E-2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2449619</v>
      </c>
      <c r="D43" s="76">
        <f t="shared" si="0"/>
        <v>2360742</v>
      </c>
      <c r="E43" s="76">
        <f>+D43-C43</f>
        <v>-88877</v>
      </c>
      <c r="F43" s="77">
        <f>IF(C43=0,0,+E43/C43)</f>
        <v>-3.6281968746976569E-2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4739609</v>
      </c>
      <c r="D44" s="185">
        <f t="shared" si="0"/>
        <v>4509176</v>
      </c>
      <c r="E44" s="185">
        <f>+D44-C44</f>
        <v>-230433</v>
      </c>
      <c r="F44" s="77">
        <f>IF(C44=0,0,+E44/C44)</f>
        <v>-4.861856748098841E-2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7151748</v>
      </c>
      <c r="D45" s="185">
        <f t="shared" si="0"/>
        <v>6370859</v>
      </c>
      <c r="E45" s="185">
        <f>+D45-C45</f>
        <v>-780889</v>
      </c>
      <c r="F45" s="77">
        <f>IF(C45=0,0,+E45/C45)</f>
        <v>-0.1091885508270146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14340976</v>
      </c>
      <c r="D46" s="79">
        <f>+D43+D44+D45</f>
        <v>13240777</v>
      </c>
      <c r="E46" s="79">
        <f>+E43+E44+E45</f>
        <v>-1100199</v>
      </c>
      <c r="F46" s="80">
        <f>IF(C46=0,0,+E46/C46)</f>
        <v>-7.6717163462235768E-2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FILING&amp;RWILLIAM W. BACKUS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226678237</v>
      </c>
      <c r="D15" s="76">
        <v>232933513</v>
      </c>
      <c r="E15" s="76">
        <f>+D15-C15</f>
        <v>6255276</v>
      </c>
      <c r="F15" s="77">
        <f>IF(C15=0,0,E15/C15)</f>
        <v>2.7595397259067265E-2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76725360</v>
      </c>
      <c r="D17" s="76">
        <v>77682175</v>
      </c>
      <c r="E17" s="76">
        <f>+D17-C17</f>
        <v>956815</v>
      </c>
      <c r="F17" s="77">
        <f>IF(C17=0,0,E17/C17)</f>
        <v>1.2470648557400056E-2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149952877</v>
      </c>
      <c r="D19" s="79">
        <f>+D15-D17</f>
        <v>155251338</v>
      </c>
      <c r="E19" s="79">
        <f>+D19-C19</f>
        <v>5298461</v>
      </c>
      <c r="F19" s="80">
        <f>IF(C19=0,0,E19/C19)</f>
        <v>3.5334173681776042E-2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0.33847695753871598</v>
      </c>
      <c r="D21" s="720">
        <f>IF(D15=0,0,D17/D15)</f>
        <v>0.33349505616222774</v>
      </c>
      <c r="E21" s="720">
        <f>+D21-C21</f>
        <v>-4.9819013764882403E-3</v>
      </c>
      <c r="F21" s="80">
        <f>IF(C21=0,0,E21/C21)</f>
        <v>-1.4718583541741969E-2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FILING&amp;R&amp;12WILLIAM W. BACKUS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237352780</v>
      </c>
      <c r="D10" s="744">
        <v>243577407</v>
      </c>
      <c r="E10" s="744">
        <v>247780251</v>
      </c>
    </row>
    <row r="11" spans="1:6" ht="26.1" customHeight="1" x14ac:dyDescent="0.25">
      <c r="A11" s="742">
        <v>2</v>
      </c>
      <c r="B11" s="743" t="s">
        <v>933</v>
      </c>
      <c r="C11" s="744">
        <v>378171683</v>
      </c>
      <c r="D11" s="744">
        <v>406849933</v>
      </c>
      <c r="E11" s="744">
        <v>453925211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615524463</v>
      </c>
      <c r="D12" s="744">
        <f>+D11+D10</f>
        <v>650427340</v>
      </c>
      <c r="E12" s="744">
        <f>+E11+E10</f>
        <v>701705462</v>
      </c>
    </row>
    <row r="13" spans="1:6" ht="26.1" customHeight="1" x14ac:dyDescent="0.25">
      <c r="A13" s="742">
        <v>4</v>
      </c>
      <c r="B13" s="743" t="s">
        <v>507</v>
      </c>
      <c r="C13" s="744">
        <v>283219755</v>
      </c>
      <c r="D13" s="744">
        <v>268008827</v>
      </c>
      <c r="E13" s="744">
        <v>293617939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264111731</v>
      </c>
      <c r="D16" s="744">
        <v>249935251</v>
      </c>
      <c r="E16" s="744">
        <v>252028161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49361</v>
      </c>
      <c r="D19" s="747">
        <v>48465</v>
      </c>
      <c r="E19" s="747">
        <v>48840</v>
      </c>
    </row>
    <row r="20" spans="1:5" ht="26.1" customHeight="1" x14ac:dyDescent="0.25">
      <c r="A20" s="742">
        <v>2</v>
      </c>
      <c r="B20" s="743" t="s">
        <v>381</v>
      </c>
      <c r="C20" s="748">
        <v>11911</v>
      </c>
      <c r="D20" s="748">
        <v>11396</v>
      </c>
      <c r="E20" s="748">
        <v>10690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4.1441524641088066</v>
      </c>
      <c r="D21" s="749">
        <f>IF(D20=0,0,+D19/D20)</f>
        <v>4.2528080028080026</v>
      </c>
      <c r="E21" s="749">
        <f>IF(E20=0,0,+E19/E20)</f>
        <v>4.568755846585594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128007.3611025032</v>
      </c>
      <c r="D22" s="748">
        <f>IF(D10=0,0,D19*(D12/D10))</f>
        <v>129416.60485407826</v>
      </c>
      <c r="E22" s="748">
        <f>IF(E10=0,0,E19*(E12/E10))</f>
        <v>138313.26195597404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30888.670774334303</v>
      </c>
      <c r="D23" s="748">
        <f>IF(D10=0,0,D20*(D12/D10))</f>
        <v>30430.859979718891</v>
      </c>
      <c r="E23" s="748">
        <f>IF(E10=0,0,E20*(E12/E10))</f>
        <v>30273.725845810044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1.2504638653345648</v>
      </c>
      <c r="D26" s="750">
        <v>1.2815816075816078</v>
      </c>
      <c r="E26" s="750">
        <v>1.2959810009354535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61724.146856779451</v>
      </c>
      <c r="D27" s="748">
        <f>D19*D26</f>
        <v>62111.85261144262</v>
      </c>
      <c r="E27" s="748">
        <f>E19*E26</f>
        <v>63295.712085687548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14894.275100000001</v>
      </c>
      <c r="D28" s="748">
        <f>D20*D26</f>
        <v>14604.904000000002</v>
      </c>
      <c r="E28" s="748">
        <f>E20*E26</f>
        <v>13854.036899999999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160068.57955551357</v>
      </c>
      <c r="D29" s="748">
        <f>D22*D26</f>
        <v>165857.94049664334</v>
      </c>
      <c r="E29" s="748">
        <f>E22*E26</f>
        <v>179251.35967235084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38625.166651520878</v>
      </c>
      <c r="D30" s="748">
        <f>D23*D26</f>
        <v>38999.630452898949</v>
      </c>
      <c r="E30" s="748">
        <f>E23*E26</f>
        <v>39234.17352369841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12469.85399404388</v>
      </c>
      <c r="D33" s="744">
        <f>IF(D19=0,0,D12/D19)</f>
        <v>13420.55792840194</v>
      </c>
      <c r="E33" s="744">
        <f>IF(E19=0,0,E12/E19)</f>
        <v>14367.433701883701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51676.976156493998</v>
      </c>
      <c r="D34" s="744">
        <f>IF(D20=0,0,D12/D20)</f>
        <v>57075.056160056163</v>
      </c>
      <c r="E34" s="744">
        <f>IF(E20=0,0,E12/E20)</f>
        <v>65641.296725912063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4808.5083365409937</v>
      </c>
      <c r="D35" s="744">
        <f>IF(D22=0,0,D12/D22)</f>
        <v>5025.8414732281035</v>
      </c>
      <c r="E35" s="744">
        <f>IF(E22=0,0,E12/E22)</f>
        <v>5073.3057125307123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19927.191671564102</v>
      </c>
      <c r="D36" s="744">
        <f>IF(D23=0,0,D12/D23)</f>
        <v>21373.938838188838</v>
      </c>
      <c r="E36" s="744">
        <f>IF(E23=0,0,E12/E23)</f>
        <v>23178.695135640784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3845.3796785678933</v>
      </c>
      <c r="D37" s="744">
        <f>IF(D29=0,0,D12/D29)</f>
        <v>3921.5930093691441</v>
      </c>
      <c r="E37" s="744">
        <f>IF(E29=0,0,E12/E29)</f>
        <v>3914.6451289553966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15935.839670371068</v>
      </c>
      <c r="D38" s="744">
        <f>IF(D30=0,0,D12/D30)</f>
        <v>16677.782134001016</v>
      </c>
      <c r="E38" s="744">
        <f>IF(E30=0,0,E12/E30)</f>
        <v>17885.057820222784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1854.2119605913706</v>
      </c>
      <c r="D39" s="744">
        <f>IF(D22=0,0,D10/D22)</f>
        <v>1882.1186606976903</v>
      </c>
      <c r="E39" s="744">
        <f>IF(E22=0,0,E10/E22)</f>
        <v>1791.4424654294537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7684.1370654647508</v>
      </c>
      <c r="D40" s="744">
        <f>IF(D23=0,0,D10/D23)</f>
        <v>8004.2893024494169</v>
      </c>
      <c r="E40" s="744">
        <f>IF(E23=0,0,E10/E23)</f>
        <v>8184.6632377525275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5737.723202528312</v>
      </c>
      <c r="D43" s="744">
        <f>IF(D19=0,0,D13/D19)</f>
        <v>5529.9458784689987</v>
      </c>
      <c r="E43" s="744">
        <f>IF(E19=0,0,E13/E19)</f>
        <v>6011.8333128583126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23777.999748131981</v>
      </c>
      <c r="D44" s="744">
        <f>IF(D20=0,0,D13/D20)</f>
        <v>23517.798087048086</v>
      </c>
      <c r="E44" s="744">
        <f>IF(E20=0,0,E13/E20)</f>
        <v>27466.598596819458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2212.5270965722734</v>
      </c>
      <c r="D45" s="744">
        <f>IF(D22=0,0,D13/D22)</f>
        <v>2070.8998455197407</v>
      </c>
      <c r="E45" s="744">
        <f>IF(E22=0,0,E13/E22)</f>
        <v>2122.8473311074131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9169.049619167492</v>
      </c>
      <c r="D46" s="744">
        <f>IF(D23=0,0,D13/D23)</f>
        <v>8807.1394360402082</v>
      </c>
      <c r="E46" s="744">
        <f>IF(E23=0,0,E13/E23)</f>
        <v>9698.7711554056186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1769.3650795581416</v>
      </c>
      <c r="D47" s="744">
        <f>IF(D29=0,0,D13/D29)</f>
        <v>1615.8938558954553</v>
      </c>
      <c r="E47" s="744">
        <f>IF(E29=0,0,E13/E29)</f>
        <v>1638.023496930216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7332.5186543589489</v>
      </c>
      <c r="D48" s="744">
        <f>IF(D30=0,0,D13/D30)</f>
        <v>6872.0863220404735</v>
      </c>
      <c r="E48" s="744">
        <f>IF(E30=0,0,E13/E30)</f>
        <v>7483.7294284445043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5350.6154859099288</v>
      </c>
      <c r="D51" s="744">
        <f>IF(D19=0,0,D16/D19)</f>
        <v>5157.0257092747343</v>
      </c>
      <c r="E51" s="744">
        <f>IF(E19=0,0,E16/E19)</f>
        <v>5160.2817567567572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22173.766350432372</v>
      </c>
      <c r="D52" s="744">
        <f>IF(D20=0,0,D16/D20)</f>
        <v>21931.840207090208</v>
      </c>
      <c r="E52" s="744">
        <f>IF(E20=0,0,E16/E20)</f>
        <v>23576.067446211411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2063.2542435470555</v>
      </c>
      <c r="D53" s="744">
        <f>IF(D22=0,0,D16/D22)</f>
        <v>1931.2456178386901</v>
      </c>
      <c r="E53" s="744">
        <f>IF(E22=0,0,E16/E22)</f>
        <v>1822.1547047326676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8550.4401574784824</v>
      </c>
      <c r="D54" s="744">
        <f>IF(D23=0,0,D16/D23)</f>
        <v>8213.2168189322656</v>
      </c>
      <c r="E54" s="744">
        <f>IF(E23=0,0,E16/E23)</f>
        <v>8324.9799606308225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1649.9910959002614</v>
      </c>
      <c r="D55" s="744">
        <f>IF(D29=0,0,D16/D29)</f>
        <v>1506.9236374911952</v>
      </c>
      <c r="E55" s="744">
        <f>IF(E29=0,0,E16/E29)</f>
        <v>1406.0041801673142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6837.8146658326586</v>
      </c>
      <c r="D56" s="744">
        <f>IF(D30=0,0,D16/D30)</f>
        <v>6408.6569051431006</v>
      </c>
      <c r="E56" s="744">
        <f>IF(E30=0,0,E16/E30)</f>
        <v>6423.6898184632018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41141324</v>
      </c>
      <c r="D59" s="752">
        <v>40513043</v>
      </c>
      <c r="E59" s="752">
        <v>39084390</v>
      </c>
    </row>
    <row r="60" spans="1:6" ht="26.1" customHeight="1" x14ac:dyDescent="0.25">
      <c r="A60" s="742">
        <v>2</v>
      </c>
      <c r="B60" s="743" t="s">
        <v>969</v>
      </c>
      <c r="C60" s="752">
        <v>9543566</v>
      </c>
      <c r="D60" s="752">
        <v>6901497</v>
      </c>
      <c r="E60" s="752">
        <v>6219772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50684890</v>
      </c>
      <c r="D61" s="755">
        <f>D59+D60</f>
        <v>47414540</v>
      </c>
      <c r="E61" s="755">
        <f>E59+E60</f>
        <v>45304162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10294416</v>
      </c>
      <c r="D64" s="744">
        <v>12360010</v>
      </c>
      <c r="E64" s="752">
        <v>13219670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1260567</v>
      </c>
      <c r="D65" s="752">
        <v>2034733</v>
      </c>
      <c r="E65" s="752">
        <v>2522646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11554983</v>
      </c>
      <c r="D66" s="757">
        <f>D64+D65</f>
        <v>14394743</v>
      </c>
      <c r="E66" s="757">
        <f>E64+E65</f>
        <v>15742316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60931073</v>
      </c>
      <c r="D69" s="752">
        <v>62652464</v>
      </c>
      <c r="E69" s="752">
        <v>57862829</v>
      </c>
    </row>
    <row r="70" spans="1:6" ht="26.1" customHeight="1" x14ac:dyDescent="0.25">
      <c r="A70" s="742">
        <v>2</v>
      </c>
      <c r="B70" s="743" t="s">
        <v>977</v>
      </c>
      <c r="C70" s="752">
        <v>21204157</v>
      </c>
      <c r="D70" s="752">
        <v>17944384</v>
      </c>
      <c r="E70" s="752">
        <v>12705071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82135230</v>
      </c>
      <c r="D71" s="755">
        <f>D69+D70</f>
        <v>80596848</v>
      </c>
      <c r="E71" s="755">
        <f>E69+E70</f>
        <v>70567900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112366813</v>
      </c>
      <c r="D75" s="744">
        <f t="shared" si="0"/>
        <v>115525517</v>
      </c>
      <c r="E75" s="744">
        <f t="shared" si="0"/>
        <v>110166889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32008290</v>
      </c>
      <c r="D76" s="744">
        <f t="shared" si="0"/>
        <v>26880614</v>
      </c>
      <c r="E76" s="744">
        <f t="shared" si="0"/>
        <v>21447489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144375103</v>
      </c>
      <c r="D77" s="757">
        <f>D75+D76</f>
        <v>142406131</v>
      </c>
      <c r="E77" s="757">
        <f>E75+E76</f>
        <v>131614378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460</v>
      </c>
      <c r="D80" s="749">
        <v>442.7</v>
      </c>
      <c r="E80" s="749">
        <v>423.1</v>
      </c>
    </row>
    <row r="81" spans="1:5" ht="26.1" customHeight="1" x14ac:dyDescent="0.25">
      <c r="A81" s="742">
        <v>2</v>
      </c>
      <c r="B81" s="743" t="s">
        <v>617</v>
      </c>
      <c r="C81" s="749">
        <v>37</v>
      </c>
      <c r="D81" s="749">
        <v>44</v>
      </c>
      <c r="E81" s="749">
        <v>42.4</v>
      </c>
    </row>
    <row r="82" spans="1:5" ht="26.1" customHeight="1" x14ac:dyDescent="0.25">
      <c r="A82" s="742">
        <v>3</v>
      </c>
      <c r="B82" s="743" t="s">
        <v>983</v>
      </c>
      <c r="C82" s="749">
        <v>1045.8</v>
      </c>
      <c r="D82" s="749">
        <v>1045</v>
      </c>
      <c r="E82" s="749">
        <v>991.5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1542.8</v>
      </c>
      <c r="D83" s="759">
        <f>D80+D81+D82</f>
        <v>1531.7</v>
      </c>
      <c r="E83" s="759">
        <f>E80+E81+E82</f>
        <v>1457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89437.66086956521</v>
      </c>
      <c r="D86" s="752">
        <f>IF(D80=0,0,D59/D80)</f>
        <v>91513.537384233117</v>
      </c>
      <c r="E86" s="752">
        <f>IF(E80=0,0,E59/E80)</f>
        <v>92376.246750177263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20746.882608695651</v>
      </c>
      <c r="D87" s="752">
        <f>IF(D80=0,0,D60/D80)</f>
        <v>15589.55726225435</v>
      </c>
      <c r="E87" s="752">
        <f>IF(E80=0,0,E60/E80)</f>
        <v>14700.477428503898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110184.54347826086</v>
      </c>
      <c r="D88" s="755">
        <f>+D86+D87</f>
        <v>107103.09464648747</v>
      </c>
      <c r="E88" s="755">
        <f>+E86+E87</f>
        <v>107076.72417868116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278227.45945945947</v>
      </c>
      <c r="D91" s="744">
        <f>IF(D81=0,0,D64/D81)</f>
        <v>280909.31818181818</v>
      </c>
      <c r="E91" s="744">
        <f>IF(E81=0,0,E64/E81)</f>
        <v>311784.66981132078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34069.37837837838</v>
      </c>
      <c r="D92" s="744">
        <f>IF(D81=0,0,D65/D81)</f>
        <v>46243.931818181816</v>
      </c>
      <c r="E92" s="744">
        <f>IF(E81=0,0,E65/E81)</f>
        <v>59496.367924528306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312296.83783783787</v>
      </c>
      <c r="D93" s="757">
        <f>+D91+D92</f>
        <v>327153.25</v>
      </c>
      <c r="E93" s="757">
        <f>+E91+E92</f>
        <v>371281.0377358491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58262.643908969214</v>
      </c>
      <c r="D96" s="752">
        <f>IF(D82=0,0,D69/D82)</f>
        <v>59954.51100478469</v>
      </c>
      <c r="E96" s="752">
        <f>IF(E82=0,0,E69/E82)</f>
        <v>58358.879475542111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20275.537387645822</v>
      </c>
      <c r="D97" s="752">
        <f>IF(D82=0,0,D70/D82)</f>
        <v>17171.659330143542</v>
      </c>
      <c r="E97" s="752">
        <f>IF(E82=0,0,E70/E82)</f>
        <v>12813.989914271306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78538.181296615032</v>
      </c>
      <c r="D98" s="757">
        <f>+D96+D97</f>
        <v>77126.170334928232</v>
      </c>
      <c r="E98" s="757">
        <f>+E96+E97</f>
        <v>71172.869389813422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72833.039279232573</v>
      </c>
      <c r="D101" s="744">
        <f>IF(D83=0,0,D75/D83)</f>
        <v>75423.070444604033</v>
      </c>
      <c r="E101" s="744">
        <f>IF(E83=0,0,E75/E83)</f>
        <v>75612.14070006863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20746.882291936738</v>
      </c>
      <c r="D102" s="761">
        <f>IF(D83=0,0,D76/D83)</f>
        <v>17549.529281190833</v>
      </c>
      <c r="E102" s="761">
        <f>IF(E83=0,0,E76/E83)</f>
        <v>14720.308167467399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93579.92157116931</v>
      </c>
      <c r="D103" s="757">
        <f>+D101+D102</f>
        <v>92972.599725794862</v>
      </c>
      <c r="E103" s="757">
        <f>+E101+E102</f>
        <v>90332.448867536034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2924.8820526326454</v>
      </c>
      <c r="D108" s="744">
        <f>IF(D19=0,0,D77/D19)</f>
        <v>2938.3293304446506</v>
      </c>
      <c r="E108" s="744">
        <f>IF(E19=0,0,E77/E19)</f>
        <v>2694.8070843570845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12121.157165645202</v>
      </c>
      <c r="D109" s="744">
        <f>IF(D20=0,0,D77/D20)</f>
        <v>12496.150491400491</v>
      </c>
      <c r="E109" s="744">
        <f>IF(E20=0,0,E77/E20)</f>
        <v>12311.915622076707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1127.8656301991114</v>
      </c>
      <c r="D110" s="744">
        <f>IF(D22=0,0,D77/D22)</f>
        <v>1100.36985717998</v>
      </c>
      <c r="E110" s="744">
        <f>IF(E22=0,0,E77/E22)</f>
        <v>951.56730554076341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4674.0471305732808</v>
      </c>
      <c r="D111" s="744">
        <f>IF(D23=0,0,D77/D23)</f>
        <v>4679.6617346637177</v>
      </c>
      <c r="E111" s="744">
        <f>IF(E23=0,0,E77/E23)</f>
        <v>4347.4786906090631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901.95779459596633</v>
      </c>
      <c r="D112" s="744">
        <f>IF(D29=0,0,D77/D29)</f>
        <v>858.60303446178409</v>
      </c>
      <c r="E112" s="744">
        <f>IF(E29=0,0,E77/E29)</f>
        <v>734.24479591437796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3737.8506169970192</v>
      </c>
      <c r="D113" s="744">
        <f>IF(D30=0,0,D77/D30)</f>
        <v>3651.4738561943109</v>
      </c>
      <c r="E113" s="744">
        <f>IF(E30=0,0,E77/E30)</f>
        <v>3354.585204158861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FILING&amp;R&amp;"Arial,Bold"&amp;12WILLIAM W. BACKUS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650427340</v>
      </c>
      <c r="D12" s="76">
        <v>701705462</v>
      </c>
      <c r="E12" s="76">
        <f t="shared" ref="E12:E21" si="0">D12-C12</f>
        <v>51278122</v>
      </c>
      <c r="F12" s="77">
        <f t="shared" ref="F12:F21" si="1">IF(C12=0,0,E12/C12)</f>
        <v>7.883758699319128E-2</v>
      </c>
    </row>
    <row r="13" spans="1:8" ht="23.1" customHeight="1" x14ac:dyDescent="0.2">
      <c r="A13" s="74">
        <v>2</v>
      </c>
      <c r="B13" s="75" t="s">
        <v>72</v>
      </c>
      <c r="C13" s="76">
        <v>367903510</v>
      </c>
      <c r="D13" s="76">
        <v>394788265</v>
      </c>
      <c r="E13" s="76">
        <f t="shared" si="0"/>
        <v>26884755</v>
      </c>
      <c r="F13" s="77">
        <f t="shared" si="1"/>
        <v>7.307555994777E-2</v>
      </c>
    </row>
    <row r="14" spans="1:8" ht="23.1" customHeight="1" x14ac:dyDescent="0.2">
      <c r="A14" s="74">
        <v>3</v>
      </c>
      <c r="B14" s="75" t="s">
        <v>73</v>
      </c>
      <c r="C14" s="76">
        <v>5791068</v>
      </c>
      <c r="D14" s="76">
        <v>5263975</v>
      </c>
      <c r="E14" s="76">
        <f t="shared" si="0"/>
        <v>-527093</v>
      </c>
      <c r="F14" s="77">
        <f t="shared" si="1"/>
        <v>-9.1018271586519095E-2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276732762</v>
      </c>
      <c r="D16" s="79">
        <f>D12-D13-D14-D15</f>
        <v>301653222</v>
      </c>
      <c r="E16" s="79">
        <f t="shared" si="0"/>
        <v>24920460</v>
      </c>
      <c r="F16" s="80">
        <f t="shared" si="1"/>
        <v>9.0052438388194891E-2</v>
      </c>
    </row>
    <row r="17" spans="1:7" ht="23.1" customHeight="1" x14ac:dyDescent="0.2">
      <c r="A17" s="74">
        <v>5</v>
      </c>
      <c r="B17" s="75" t="s">
        <v>76</v>
      </c>
      <c r="C17" s="76">
        <v>8723935</v>
      </c>
      <c r="D17" s="76">
        <v>8035283</v>
      </c>
      <c r="E17" s="76">
        <f t="shared" si="0"/>
        <v>-688652</v>
      </c>
      <c r="F17" s="77">
        <f t="shared" si="1"/>
        <v>-7.8938231428821976E-2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268008827</v>
      </c>
      <c r="D18" s="79">
        <f>D16-D17</f>
        <v>293617939</v>
      </c>
      <c r="E18" s="79">
        <f t="shared" si="0"/>
        <v>25609112</v>
      </c>
      <c r="F18" s="80">
        <f t="shared" si="1"/>
        <v>9.5553240863966021E-2</v>
      </c>
    </row>
    <row r="19" spans="1:7" ht="23.1" customHeight="1" x14ac:dyDescent="0.2">
      <c r="A19" s="74">
        <v>6</v>
      </c>
      <c r="B19" s="75" t="s">
        <v>78</v>
      </c>
      <c r="C19" s="76">
        <v>6956718</v>
      </c>
      <c r="D19" s="76">
        <v>6760427</v>
      </c>
      <c r="E19" s="76">
        <f t="shared" si="0"/>
        <v>-196291</v>
      </c>
      <c r="F19" s="77">
        <f t="shared" si="1"/>
        <v>-2.8216035205106776E-2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245584</v>
      </c>
      <c r="D20" s="76">
        <v>287246</v>
      </c>
      <c r="E20" s="76">
        <f t="shared" si="0"/>
        <v>41662</v>
      </c>
      <c r="F20" s="77">
        <f t="shared" si="1"/>
        <v>0.16964460225421851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275211129</v>
      </c>
      <c r="D21" s="79">
        <f>SUM(D18:D20)</f>
        <v>300665612</v>
      </c>
      <c r="E21" s="79">
        <f t="shared" si="0"/>
        <v>25454483</v>
      </c>
      <c r="F21" s="80">
        <f t="shared" si="1"/>
        <v>9.2490747349101565E-2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115525517</v>
      </c>
      <c r="D24" s="76">
        <v>110166889</v>
      </c>
      <c r="E24" s="76">
        <f t="shared" ref="E24:E33" si="2">D24-C24</f>
        <v>-5358628</v>
      </c>
      <c r="F24" s="77">
        <f t="shared" ref="F24:F33" si="3">IF(C24=0,0,E24/C24)</f>
        <v>-4.6384799991849419E-2</v>
      </c>
    </row>
    <row r="25" spans="1:7" ht="23.1" customHeight="1" x14ac:dyDescent="0.2">
      <c r="A25" s="74">
        <v>2</v>
      </c>
      <c r="B25" s="75" t="s">
        <v>83</v>
      </c>
      <c r="C25" s="76">
        <v>26880614</v>
      </c>
      <c r="D25" s="76">
        <v>21447489</v>
      </c>
      <c r="E25" s="76">
        <f t="shared" si="2"/>
        <v>-5433125</v>
      </c>
      <c r="F25" s="77">
        <f t="shared" si="3"/>
        <v>-0.20212056912092857</v>
      </c>
    </row>
    <row r="26" spans="1:7" ht="23.1" customHeight="1" x14ac:dyDescent="0.2">
      <c r="A26" s="74">
        <v>3</v>
      </c>
      <c r="B26" s="75" t="s">
        <v>84</v>
      </c>
      <c r="C26" s="76">
        <v>1727329</v>
      </c>
      <c r="D26" s="76">
        <v>2624355</v>
      </c>
      <c r="E26" s="76">
        <f t="shared" si="2"/>
        <v>897026</v>
      </c>
      <c r="F26" s="77">
        <f t="shared" si="3"/>
        <v>0.51931392340428484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36905385</v>
      </c>
      <c r="D27" s="76">
        <v>39451269</v>
      </c>
      <c r="E27" s="76">
        <f t="shared" si="2"/>
        <v>2545884</v>
      </c>
      <c r="F27" s="77">
        <f t="shared" si="3"/>
        <v>6.89840791526765E-2</v>
      </c>
    </row>
    <row r="28" spans="1:7" ht="23.1" customHeight="1" x14ac:dyDescent="0.2">
      <c r="A28" s="74">
        <v>5</v>
      </c>
      <c r="B28" s="75" t="s">
        <v>86</v>
      </c>
      <c r="C28" s="76">
        <v>15523631</v>
      </c>
      <c r="D28" s="76">
        <v>15651354</v>
      </c>
      <c r="E28" s="76">
        <f t="shared" si="2"/>
        <v>127723</v>
      </c>
      <c r="F28" s="77">
        <f t="shared" si="3"/>
        <v>8.2276498326970017E-3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3375173</v>
      </c>
      <c r="D30" s="76">
        <v>2992001</v>
      </c>
      <c r="E30" s="76">
        <f t="shared" si="2"/>
        <v>-383172</v>
      </c>
      <c r="F30" s="77">
        <f t="shared" si="3"/>
        <v>-0.11352662515373287</v>
      </c>
    </row>
    <row r="31" spans="1:7" ht="23.1" customHeight="1" x14ac:dyDescent="0.2">
      <c r="A31" s="74">
        <v>8</v>
      </c>
      <c r="B31" s="75" t="s">
        <v>89</v>
      </c>
      <c r="C31" s="76">
        <v>4531196</v>
      </c>
      <c r="D31" s="76">
        <v>1363097</v>
      </c>
      <c r="E31" s="76">
        <f t="shared" si="2"/>
        <v>-3168099</v>
      </c>
      <c r="F31" s="77">
        <f t="shared" si="3"/>
        <v>-0.69917500809940691</v>
      </c>
    </row>
    <row r="32" spans="1:7" ht="23.1" customHeight="1" x14ac:dyDescent="0.2">
      <c r="A32" s="74">
        <v>9</v>
      </c>
      <c r="B32" s="75" t="s">
        <v>90</v>
      </c>
      <c r="C32" s="76">
        <v>45466406</v>
      </c>
      <c r="D32" s="76">
        <v>58331707</v>
      </c>
      <c r="E32" s="76">
        <f t="shared" si="2"/>
        <v>12865301</v>
      </c>
      <c r="F32" s="77">
        <f t="shared" si="3"/>
        <v>0.28296278795381363</v>
      </c>
    </row>
    <row r="33" spans="1:6" ht="23.1" customHeight="1" x14ac:dyDescent="0.25">
      <c r="A33" s="71"/>
      <c r="B33" s="78" t="s">
        <v>91</v>
      </c>
      <c r="C33" s="79">
        <f>SUM(C24:C32)</f>
        <v>249935251</v>
      </c>
      <c r="D33" s="79">
        <f>SUM(D24:D32)</f>
        <v>252028161</v>
      </c>
      <c r="E33" s="79">
        <f t="shared" si="2"/>
        <v>2092910</v>
      </c>
      <c r="F33" s="80">
        <f t="shared" si="3"/>
        <v>8.3738087829795561E-3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25275878</v>
      </c>
      <c r="D35" s="79">
        <f>+D21-D33</f>
        <v>48637451</v>
      </c>
      <c r="E35" s="79">
        <f>D35-C35</f>
        <v>23361573</v>
      </c>
      <c r="F35" s="80">
        <f>IF(C35=0,0,E35/C35)</f>
        <v>0.92426356069609139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5145469</v>
      </c>
      <c r="D38" s="76">
        <v>8426323</v>
      </c>
      <c r="E38" s="76">
        <f>D38-C38</f>
        <v>3280854</v>
      </c>
      <c r="F38" s="77">
        <f>IF(C38=0,0,E38/C38)</f>
        <v>0.63762001092611775</v>
      </c>
    </row>
    <row r="39" spans="1:6" ht="23.1" customHeight="1" x14ac:dyDescent="0.2">
      <c r="A39" s="85">
        <v>2</v>
      </c>
      <c r="B39" s="75" t="s">
        <v>95</v>
      </c>
      <c r="C39" s="76">
        <v>137640</v>
      </c>
      <c r="D39" s="76">
        <v>222728</v>
      </c>
      <c r="E39" s="76">
        <f>D39-C39</f>
        <v>85088</v>
      </c>
      <c r="F39" s="77">
        <f>IF(C39=0,0,E39/C39)</f>
        <v>0.61819238593432146</v>
      </c>
    </row>
    <row r="40" spans="1:6" ht="23.1" customHeight="1" x14ac:dyDescent="0.2">
      <c r="A40" s="85">
        <v>3</v>
      </c>
      <c r="B40" s="75" t="s">
        <v>96</v>
      </c>
      <c r="C40" s="76">
        <v>-138649</v>
      </c>
      <c r="D40" s="76">
        <v>-186851</v>
      </c>
      <c r="E40" s="76">
        <f>D40-C40</f>
        <v>-48202</v>
      </c>
      <c r="F40" s="77">
        <f>IF(C40=0,0,E40/C40)</f>
        <v>0.34765486949058416</v>
      </c>
    </row>
    <row r="41" spans="1:6" ht="23.1" customHeight="1" x14ac:dyDescent="0.25">
      <c r="A41" s="83"/>
      <c r="B41" s="78" t="s">
        <v>97</v>
      </c>
      <c r="C41" s="79">
        <f>SUM(C38:C40)</f>
        <v>5144460</v>
      </c>
      <c r="D41" s="79">
        <f>SUM(D38:D40)</f>
        <v>8462200</v>
      </c>
      <c r="E41" s="79">
        <f>D41-C41</f>
        <v>3317740</v>
      </c>
      <c r="F41" s="80">
        <f>IF(C41=0,0,E41/C41)</f>
        <v>0.64491511256769418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30420338</v>
      </c>
      <c r="D43" s="79">
        <f>D35+D41</f>
        <v>57099651</v>
      </c>
      <c r="E43" s="79">
        <f>D43-C43</f>
        <v>26679313</v>
      </c>
      <c r="F43" s="80">
        <f>IF(C43=0,0,E43/C43)</f>
        <v>0.87702224084426672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5113161</v>
      </c>
      <c r="D46" s="76">
        <v>604064</v>
      </c>
      <c r="E46" s="76">
        <f>D46-C46</f>
        <v>-4509097</v>
      </c>
      <c r="F46" s="77">
        <f>IF(C46=0,0,E46/C46)</f>
        <v>-0.88186094668249249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5113161</v>
      </c>
      <c r="D48" s="79">
        <f>SUM(D46:D47)</f>
        <v>604064</v>
      </c>
      <c r="E48" s="79">
        <f>D48-C48</f>
        <v>-4509097</v>
      </c>
      <c r="F48" s="80">
        <f>IF(C48=0,0,E48/C48)</f>
        <v>-0.88186094668249249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35533499</v>
      </c>
      <c r="D50" s="79">
        <f>D43+D48</f>
        <v>57703715</v>
      </c>
      <c r="E50" s="79">
        <f>D50-C50</f>
        <v>22170216</v>
      </c>
      <c r="F50" s="80">
        <f>IF(C50=0,0,E50/C50)</f>
        <v>0.62392437063403183</v>
      </c>
    </row>
    <row r="51" spans="1:6" ht="23.1" customHeight="1" x14ac:dyDescent="0.2">
      <c r="A51" s="85"/>
      <c r="B51" s="75" t="s">
        <v>104</v>
      </c>
      <c r="C51" s="76">
        <v>2105440</v>
      </c>
      <c r="D51" s="76">
        <v>2433472</v>
      </c>
      <c r="E51" s="76">
        <f>D51-C51</f>
        <v>328032</v>
      </c>
      <c r="F51" s="77">
        <f>IF(C51=0,0,E51/C51)</f>
        <v>0.15580211262253971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FILING&amp;RWILLIAM W. BACKUS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113808070</v>
      </c>
      <c r="D14" s="113">
        <v>115697392</v>
      </c>
      <c r="E14" s="113">
        <f t="shared" ref="E14:E25" si="0">D14-C14</f>
        <v>1889322</v>
      </c>
      <c r="F14" s="114">
        <f t="shared" ref="F14:F25" si="1">IF(C14=0,0,E14/C14)</f>
        <v>1.6600949299992524E-2</v>
      </c>
    </row>
    <row r="15" spans="1:6" x14ac:dyDescent="0.2">
      <c r="A15" s="115">
        <v>2</v>
      </c>
      <c r="B15" s="116" t="s">
        <v>114</v>
      </c>
      <c r="C15" s="113">
        <v>17328556</v>
      </c>
      <c r="D15" s="113">
        <v>18964070</v>
      </c>
      <c r="E15" s="113">
        <f t="shared" si="0"/>
        <v>1635514</v>
      </c>
      <c r="F15" s="114">
        <f t="shared" si="1"/>
        <v>9.4382590216980575E-2</v>
      </c>
    </row>
    <row r="16" spans="1:6" x14ac:dyDescent="0.2">
      <c r="A16" s="115">
        <v>3</v>
      </c>
      <c r="B16" s="116" t="s">
        <v>115</v>
      </c>
      <c r="C16" s="113">
        <v>39100309</v>
      </c>
      <c r="D16" s="113">
        <v>41698751</v>
      </c>
      <c r="E16" s="113">
        <f t="shared" si="0"/>
        <v>2598442</v>
      </c>
      <c r="F16" s="114">
        <f t="shared" si="1"/>
        <v>6.6455791947833451E-2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2360285</v>
      </c>
      <c r="D18" s="113">
        <v>2915085</v>
      </c>
      <c r="E18" s="113">
        <f t="shared" si="0"/>
        <v>554800</v>
      </c>
      <c r="F18" s="114">
        <f t="shared" si="1"/>
        <v>0.23505635971927119</v>
      </c>
    </row>
    <row r="19" spans="1:6" x14ac:dyDescent="0.2">
      <c r="A19" s="115">
        <v>6</v>
      </c>
      <c r="B19" s="116" t="s">
        <v>118</v>
      </c>
      <c r="C19" s="113">
        <v>2420106</v>
      </c>
      <c r="D19" s="113">
        <v>2775071</v>
      </c>
      <c r="E19" s="113">
        <f t="shared" si="0"/>
        <v>354965</v>
      </c>
      <c r="F19" s="114">
        <f t="shared" si="1"/>
        <v>0.14667332753193454</v>
      </c>
    </row>
    <row r="20" spans="1:6" x14ac:dyDescent="0.2">
      <c r="A20" s="115">
        <v>7</v>
      </c>
      <c r="B20" s="116" t="s">
        <v>119</v>
      </c>
      <c r="C20" s="113">
        <v>61727050</v>
      </c>
      <c r="D20" s="113">
        <v>58975895</v>
      </c>
      <c r="E20" s="113">
        <f t="shared" si="0"/>
        <v>-2751155</v>
      </c>
      <c r="F20" s="114">
        <f t="shared" si="1"/>
        <v>-4.4569682173374557E-2</v>
      </c>
    </row>
    <row r="21" spans="1:6" x14ac:dyDescent="0.2">
      <c r="A21" s="115">
        <v>8</v>
      </c>
      <c r="B21" s="116" t="s">
        <v>120</v>
      </c>
      <c r="C21" s="113">
        <v>2794478</v>
      </c>
      <c r="D21" s="113">
        <v>2656936</v>
      </c>
      <c r="E21" s="113">
        <f t="shared" si="0"/>
        <v>-137542</v>
      </c>
      <c r="F21" s="114">
        <f t="shared" si="1"/>
        <v>-4.9219210170915642E-2</v>
      </c>
    </row>
    <row r="22" spans="1:6" x14ac:dyDescent="0.2">
      <c r="A22" s="115">
        <v>9</v>
      </c>
      <c r="B22" s="116" t="s">
        <v>121</v>
      </c>
      <c r="C22" s="113">
        <v>3027720</v>
      </c>
      <c r="D22" s="113">
        <v>2221992</v>
      </c>
      <c r="E22" s="113">
        <f t="shared" si="0"/>
        <v>-805728</v>
      </c>
      <c r="F22" s="114">
        <f t="shared" si="1"/>
        <v>-0.2661170781974555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1010833</v>
      </c>
      <c r="D24" s="113">
        <v>1875059</v>
      </c>
      <c r="E24" s="113">
        <f t="shared" si="0"/>
        <v>864226</v>
      </c>
      <c r="F24" s="114">
        <f t="shared" si="1"/>
        <v>0.85496417311267048</v>
      </c>
    </row>
    <row r="25" spans="1:6" ht="15.75" x14ac:dyDescent="0.25">
      <c r="A25" s="117"/>
      <c r="B25" s="118" t="s">
        <v>124</v>
      </c>
      <c r="C25" s="119">
        <f>SUM(C14:C24)</f>
        <v>243577407</v>
      </c>
      <c r="D25" s="119">
        <f>SUM(D14:D24)</f>
        <v>247780251</v>
      </c>
      <c r="E25" s="119">
        <f t="shared" si="0"/>
        <v>4202844</v>
      </c>
      <c r="F25" s="120">
        <f t="shared" si="1"/>
        <v>1.7254654492647587E-2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107697117</v>
      </c>
      <c r="D27" s="113">
        <v>126392923</v>
      </c>
      <c r="E27" s="113">
        <f t="shared" ref="E27:E38" si="2">D27-C27</f>
        <v>18695806</v>
      </c>
      <c r="F27" s="114">
        <f t="shared" ref="F27:F38" si="3">IF(C27=0,0,E27/C27)</f>
        <v>0.17359616042461007</v>
      </c>
    </row>
    <row r="28" spans="1:6" x14ac:dyDescent="0.2">
      <c r="A28" s="115">
        <v>2</v>
      </c>
      <c r="B28" s="116" t="s">
        <v>114</v>
      </c>
      <c r="C28" s="113">
        <v>24197235</v>
      </c>
      <c r="D28" s="113">
        <v>27390798</v>
      </c>
      <c r="E28" s="113">
        <f t="shared" si="2"/>
        <v>3193563</v>
      </c>
      <c r="F28" s="114">
        <f t="shared" si="3"/>
        <v>0.13198049281250523</v>
      </c>
    </row>
    <row r="29" spans="1:6" x14ac:dyDescent="0.2">
      <c r="A29" s="115">
        <v>3</v>
      </c>
      <c r="B29" s="116" t="s">
        <v>115</v>
      </c>
      <c r="C29" s="113">
        <v>83926391</v>
      </c>
      <c r="D29" s="113">
        <v>100205817</v>
      </c>
      <c r="E29" s="113">
        <f t="shared" si="2"/>
        <v>16279426</v>
      </c>
      <c r="F29" s="114">
        <f t="shared" si="3"/>
        <v>0.19397266826355014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7118154</v>
      </c>
      <c r="D31" s="113">
        <v>8163938</v>
      </c>
      <c r="E31" s="113">
        <f t="shared" si="2"/>
        <v>1045784</v>
      </c>
      <c r="F31" s="114">
        <f t="shared" si="3"/>
        <v>0.14691786662665629</v>
      </c>
    </row>
    <row r="32" spans="1:6" x14ac:dyDescent="0.2">
      <c r="A32" s="115">
        <v>6</v>
      </c>
      <c r="B32" s="116" t="s">
        <v>118</v>
      </c>
      <c r="C32" s="113">
        <v>9365007</v>
      </c>
      <c r="D32" s="113">
        <v>9495014</v>
      </c>
      <c r="E32" s="113">
        <f t="shared" si="2"/>
        <v>130007</v>
      </c>
      <c r="F32" s="114">
        <f t="shared" si="3"/>
        <v>1.3882210659319315E-2</v>
      </c>
    </row>
    <row r="33" spans="1:6" x14ac:dyDescent="0.2">
      <c r="A33" s="115">
        <v>7</v>
      </c>
      <c r="B33" s="116" t="s">
        <v>119</v>
      </c>
      <c r="C33" s="113">
        <v>155576561</v>
      </c>
      <c r="D33" s="113">
        <v>164298535</v>
      </c>
      <c r="E33" s="113">
        <f t="shared" si="2"/>
        <v>8721974</v>
      </c>
      <c r="F33" s="114">
        <f t="shared" si="3"/>
        <v>5.6062262489527587E-2</v>
      </c>
    </row>
    <row r="34" spans="1:6" x14ac:dyDescent="0.2">
      <c r="A34" s="115">
        <v>8</v>
      </c>
      <c r="B34" s="116" t="s">
        <v>120</v>
      </c>
      <c r="C34" s="113">
        <v>5544399</v>
      </c>
      <c r="D34" s="113">
        <v>4987772</v>
      </c>
      <c r="E34" s="113">
        <f t="shared" si="2"/>
        <v>-556627</v>
      </c>
      <c r="F34" s="114">
        <f t="shared" si="3"/>
        <v>-0.10039447016710017</v>
      </c>
    </row>
    <row r="35" spans="1:6" x14ac:dyDescent="0.2">
      <c r="A35" s="115">
        <v>9</v>
      </c>
      <c r="B35" s="116" t="s">
        <v>121</v>
      </c>
      <c r="C35" s="113">
        <v>11449862</v>
      </c>
      <c r="D35" s="113">
        <v>10795864</v>
      </c>
      <c r="E35" s="113">
        <f t="shared" si="2"/>
        <v>-653998</v>
      </c>
      <c r="F35" s="114">
        <f t="shared" si="3"/>
        <v>-5.7118417671758841E-2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1975207</v>
      </c>
      <c r="D37" s="113">
        <v>2194550</v>
      </c>
      <c r="E37" s="113">
        <f t="shared" si="2"/>
        <v>219343</v>
      </c>
      <c r="F37" s="114">
        <f t="shared" si="3"/>
        <v>0.11104810786920054</v>
      </c>
    </row>
    <row r="38" spans="1:6" ht="15.75" x14ac:dyDescent="0.25">
      <c r="A38" s="117"/>
      <c r="B38" s="118" t="s">
        <v>126</v>
      </c>
      <c r="C38" s="119">
        <f>SUM(C27:C37)</f>
        <v>406849933</v>
      </c>
      <c r="D38" s="119">
        <f>SUM(D27:D37)</f>
        <v>453925211</v>
      </c>
      <c r="E38" s="119">
        <f t="shared" si="2"/>
        <v>47075278</v>
      </c>
      <c r="F38" s="120">
        <f t="shared" si="3"/>
        <v>0.11570673651800749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221505187</v>
      </c>
      <c r="D41" s="119">
        <f t="shared" si="4"/>
        <v>242090315</v>
      </c>
      <c r="E41" s="123">
        <f t="shared" ref="E41:E52" si="5">D41-C41</f>
        <v>20585128</v>
      </c>
      <c r="F41" s="124">
        <f t="shared" ref="F41:F52" si="6">IF(C41=0,0,E41/C41)</f>
        <v>9.2932938857093222E-2</v>
      </c>
    </row>
    <row r="42" spans="1:6" ht="15.75" x14ac:dyDescent="0.25">
      <c r="A42" s="121">
        <v>2</v>
      </c>
      <c r="B42" s="122" t="s">
        <v>114</v>
      </c>
      <c r="C42" s="119">
        <f t="shared" si="4"/>
        <v>41525791</v>
      </c>
      <c r="D42" s="119">
        <f t="shared" si="4"/>
        <v>46354868</v>
      </c>
      <c r="E42" s="123">
        <f t="shared" si="5"/>
        <v>4829077</v>
      </c>
      <c r="F42" s="124">
        <f t="shared" si="6"/>
        <v>0.11629102983252022</v>
      </c>
    </row>
    <row r="43" spans="1:6" ht="15.75" x14ac:dyDescent="0.25">
      <c r="A43" s="121">
        <v>3</v>
      </c>
      <c r="B43" s="122" t="s">
        <v>115</v>
      </c>
      <c r="C43" s="119">
        <f t="shared" si="4"/>
        <v>123026700</v>
      </c>
      <c r="D43" s="119">
        <f t="shared" si="4"/>
        <v>141904568</v>
      </c>
      <c r="E43" s="123">
        <f t="shared" si="5"/>
        <v>18877868</v>
      </c>
      <c r="F43" s="124">
        <f t="shared" si="6"/>
        <v>0.15344529276978086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9478439</v>
      </c>
      <c r="D45" s="119">
        <f t="shared" si="4"/>
        <v>11079023</v>
      </c>
      <c r="E45" s="123">
        <f t="shared" si="5"/>
        <v>1600584</v>
      </c>
      <c r="F45" s="124">
        <f t="shared" si="6"/>
        <v>0.16886578053622542</v>
      </c>
    </row>
    <row r="46" spans="1:6" ht="15.75" x14ac:dyDescent="0.25">
      <c r="A46" s="121">
        <v>6</v>
      </c>
      <c r="B46" s="122" t="s">
        <v>118</v>
      </c>
      <c r="C46" s="119">
        <f t="shared" si="4"/>
        <v>11785113</v>
      </c>
      <c r="D46" s="119">
        <f t="shared" si="4"/>
        <v>12270085</v>
      </c>
      <c r="E46" s="123">
        <f t="shared" si="5"/>
        <v>484972</v>
      </c>
      <c r="F46" s="124">
        <f t="shared" si="6"/>
        <v>4.1151238855325359E-2</v>
      </c>
    </row>
    <row r="47" spans="1:6" ht="15.75" x14ac:dyDescent="0.25">
      <c r="A47" s="121">
        <v>7</v>
      </c>
      <c r="B47" s="122" t="s">
        <v>119</v>
      </c>
      <c r="C47" s="119">
        <f t="shared" si="4"/>
        <v>217303611</v>
      </c>
      <c r="D47" s="119">
        <f t="shared" si="4"/>
        <v>223274430</v>
      </c>
      <c r="E47" s="123">
        <f t="shared" si="5"/>
        <v>5970819</v>
      </c>
      <c r="F47" s="124">
        <f t="shared" si="6"/>
        <v>2.7476851270547914E-2</v>
      </c>
    </row>
    <row r="48" spans="1:6" ht="15.75" x14ac:dyDescent="0.25">
      <c r="A48" s="121">
        <v>8</v>
      </c>
      <c r="B48" s="122" t="s">
        <v>120</v>
      </c>
      <c r="C48" s="119">
        <f t="shared" si="4"/>
        <v>8338877</v>
      </c>
      <c r="D48" s="119">
        <f t="shared" si="4"/>
        <v>7644708</v>
      </c>
      <c r="E48" s="123">
        <f t="shared" si="5"/>
        <v>-694169</v>
      </c>
      <c r="F48" s="124">
        <f t="shared" si="6"/>
        <v>-8.324490216128623E-2</v>
      </c>
    </row>
    <row r="49" spans="1:6" ht="15.75" x14ac:dyDescent="0.25">
      <c r="A49" s="121">
        <v>9</v>
      </c>
      <c r="B49" s="122" t="s">
        <v>121</v>
      </c>
      <c r="C49" s="119">
        <f t="shared" si="4"/>
        <v>14477582</v>
      </c>
      <c r="D49" s="119">
        <f t="shared" si="4"/>
        <v>13017856</v>
      </c>
      <c r="E49" s="123">
        <f t="shared" si="5"/>
        <v>-1459726</v>
      </c>
      <c r="F49" s="124">
        <f t="shared" si="6"/>
        <v>-0.10082664356520309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2986040</v>
      </c>
      <c r="D51" s="119">
        <f t="shared" si="4"/>
        <v>4069609</v>
      </c>
      <c r="E51" s="123">
        <f t="shared" si="5"/>
        <v>1083569</v>
      </c>
      <c r="F51" s="124">
        <f t="shared" si="6"/>
        <v>0.36287826017066083</v>
      </c>
    </row>
    <row r="52" spans="1:6" ht="18.75" customHeight="1" thickBot="1" x14ac:dyDescent="0.3">
      <c r="A52" s="125"/>
      <c r="B52" s="126" t="s">
        <v>128</v>
      </c>
      <c r="C52" s="127">
        <f>SUM(C41:C51)</f>
        <v>650427340</v>
      </c>
      <c r="D52" s="128">
        <f>SUM(D41:D51)</f>
        <v>701705462</v>
      </c>
      <c r="E52" s="127">
        <f t="shared" si="5"/>
        <v>51278122</v>
      </c>
      <c r="F52" s="129">
        <f t="shared" si="6"/>
        <v>7.883758699319128E-2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46948322</v>
      </c>
      <c r="D57" s="113">
        <v>53013589</v>
      </c>
      <c r="E57" s="113">
        <f t="shared" ref="E57:E68" si="7">D57-C57</f>
        <v>6065267</v>
      </c>
      <c r="F57" s="114">
        <f t="shared" ref="F57:F68" si="8">IF(C57=0,0,E57/C57)</f>
        <v>0.12919028288167572</v>
      </c>
    </row>
    <row r="58" spans="1:6" x14ac:dyDescent="0.2">
      <c r="A58" s="115">
        <v>2</v>
      </c>
      <c r="B58" s="116" t="s">
        <v>114</v>
      </c>
      <c r="C58" s="113">
        <v>7368069</v>
      </c>
      <c r="D58" s="113">
        <v>7961933</v>
      </c>
      <c r="E58" s="113">
        <f t="shared" si="7"/>
        <v>593864</v>
      </c>
      <c r="F58" s="114">
        <f t="shared" si="8"/>
        <v>8.0599679508973107E-2</v>
      </c>
    </row>
    <row r="59" spans="1:6" x14ac:dyDescent="0.2">
      <c r="A59" s="115">
        <v>3</v>
      </c>
      <c r="B59" s="116" t="s">
        <v>115</v>
      </c>
      <c r="C59" s="113">
        <v>11717559</v>
      </c>
      <c r="D59" s="113">
        <v>12041319</v>
      </c>
      <c r="E59" s="113">
        <f t="shared" si="7"/>
        <v>323760</v>
      </c>
      <c r="F59" s="114">
        <f t="shared" si="8"/>
        <v>2.7630328125508051E-2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914334</v>
      </c>
      <c r="D61" s="113">
        <v>1084152</v>
      </c>
      <c r="E61" s="113">
        <f t="shared" si="7"/>
        <v>169818</v>
      </c>
      <c r="F61" s="114">
        <f t="shared" si="8"/>
        <v>0.18572862870679643</v>
      </c>
    </row>
    <row r="62" spans="1:6" x14ac:dyDescent="0.2">
      <c r="A62" s="115">
        <v>6</v>
      </c>
      <c r="B62" s="116" t="s">
        <v>118</v>
      </c>
      <c r="C62" s="113">
        <v>2082814</v>
      </c>
      <c r="D62" s="113">
        <v>2363147</v>
      </c>
      <c r="E62" s="113">
        <f t="shared" si="7"/>
        <v>280333</v>
      </c>
      <c r="F62" s="114">
        <f t="shared" si="8"/>
        <v>0.13459339144061833</v>
      </c>
    </row>
    <row r="63" spans="1:6" x14ac:dyDescent="0.2">
      <c r="A63" s="115">
        <v>7</v>
      </c>
      <c r="B63" s="116" t="s">
        <v>119</v>
      </c>
      <c r="C63" s="113">
        <v>46671771</v>
      </c>
      <c r="D63" s="113">
        <v>44903263</v>
      </c>
      <c r="E63" s="113">
        <f t="shared" si="7"/>
        <v>-1768508</v>
      </c>
      <c r="F63" s="114">
        <f t="shared" si="8"/>
        <v>-3.7892455377362903E-2</v>
      </c>
    </row>
    <row r="64" spans="1:6" x14ac:dyDescent="0.2">
      <c r="A64" s="115">
        <v>8</v>
      </c>
      <c r="B64" s="116" t="s">
        <v>120</v>
      </c>
      <c r="C64" s="113">
        <v>2434406</v>
      </c>
      <c r="D64" s="113">
        <v>2040880</v>
      </c>
      <c r="E64" s="113">
        <f t="shared" si="7"/>
        <v>-393526</v>
      </c>
      <c r="F64" s="114">
        <f t="shared" si="8"/>
        <v>-0.1616517540623873</v>
      </c>
    </row>
    <row r="65" spans="1:6" x14ac:dyDescent="0.2">
      <c r="A65" s="115">
        <v>9</v>
      </c>
      <c r="B65" s="116" t="s">
        <v>121</v>
      </c>
      <c r="C65" s="113">
        <v>493407</v>
      </c>
      <c r="D65" s="113">
        <v>392909</v>
      </c>
      <c r="E65" s="113">
        <f t="shared" si="7"/>
        <v>-100498</v>
      </c>
      <c r="F65" s="114">
        <f t="shared" si="8"/>
        <v>-0.2036817475228361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320644</v>
      </c>
      <c r="D67" s="113">
        <v>1081767</v>
      </c>
      <c r="E67" s="113">
        <f t="shared" si="7"/>
        <v>761123</v>
      </c>
      <c r="F67" s="114">
        <f t="shared" si="8"/>
        <v>2.3737322388692754</v>
      </c>
    </row>
    <row r="68" spans="1:6" ht="15.75" x14ac:dyDescent="0.25">
      <c r="A68" s="117"/>
      <c r="B68" s="118" t="s">
        <v>131</v>
      </c>
      <c r="C68" s="119">
        <f>SUM(C57:C67)</f>
        <v>118951326</v>
      </c>
      <c r="D68" s="119">
        <f>SUM(D57:D67)</f>
        <v>124882959</v>
      </c>
      <c r="E68" s="119">
        <f t="shared" si="7"/>
        <v>5931633</v>
      </c>
      <c r="F68" s="120">
        <f t="shared" si="8"/>
        <v>4.9866051934553464E-2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26266559</v>
      </c>
      <c r="D70" s="113">
        <v>31926672</v>
      </c>
      <c r="E70" s="113">
        <f t="shared" ref="E70:E81" si="9">D70-C70</f>
        <v>5660113</v>
      </c>
      <c r="F70" s="114">
        <f t="shared" ref="F70:F81" si="10">IF(C70=0,0,E70/C70)</f>
        <v>0.21548741881264311</v>
      </c>
    </row>
    <row r="71" spans="1:6" x14ac:dyDescent="0.2">
      <c r="A71" s="115">
        <v>2</v>
      </c>
      <c r="B71" s="116" t="s">
        <v>114</v>
      </c>
      <c r="C71" s="113">
        <v>5437009</v>
      </c>
      <c r="D71" s="113">
        <v>6256024</v>
      </c>
      <c r="E71" s="113">
        <f t="shared" si="9"/>
        <v>819015</v>
      </c>
      <c r="F71" s="114">
        <f t="shared" si="10"/>
        <v>0.15063705062838778</v>
      </c>
    </row>
    <row r="72" spans="1:6" x14ac:dyDescent="0.2">
      <c r="A72" s="115">
        <v>3</v>
      </c>
      <c r="B72" s="116" t="s">
        <v>115</v>
      </c>
      <c r="C72" s="113">
        <v>19514011</v>
      </c>
      <c r="D72" s="113">
        <v>23382850</v>
      </c>
      <c r="E72" s="113">
        <f t="shared" si="9"/>
        <v>3868839</v>
      </c>
      <c r="F72" s="114">
        <f t="shared" si="10"/>
        <v>0.19825954797299233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1776013</v>
      </c>
      <c r="D74" s="113">
        <v>2105944</v>
      </c>
      <c r="E74" s="113">
        <f t="shared" si="9"/>
        <v>329931</v>
      </c>
      <c r="F74" s="114">
        <f t="shared" si="10"/>
        <v>0.18577059965214218</v>
      </c>
    </row>
    <row r="75" spans="1:6" x14ac:dyDescent="0.2">
      <c r="A75" s="115">
        <v>6</v>
      </c>
      <c r="B75" s="116" t="s">
        <v>118</v>
      </c>
      <c r="C75" s="113">
        <v>7610955</v>
      </c>
      <c r="D75" s="113">
        <v>7674041</v>
      </c>
      <c r="E75" s="113">
        <f t="shared" si="9"/>
        <v>63086</v>
      </c>
      <c r="F75" s="114">
        <f t="shared" si="10"/>
        <v>8.2888415448521251E-3</v>
      </c>
    </row>
    <row r="76" spans="1:6" x14ac:dyDescent="0.2">
      <c r="A76" s="115">
        <v>7</v>
      </c>
      <c r="B76" s="116" t="s">
        <v>119</v>
      </c>
      <c r="C76" s="113">
        <v>88896387</v>
      </c>
      <c r="D76" s="113">
        <v>95992108</v>
      </c>
      <c r="E76" s="113">
        <f t="shared" si="9"/>
        <v>7095721</v>
      </c>
      <c r="F76" s="114">
        <f t="shared" si="10"/>
        <v>7.9820128122867359E-2</v>
      </c>
    </row>
    <row r="77" spans="1:6" x14ac:dyDescent="0.2">
      <c r="A77" s="115">
        <v>8</v>
      </c>
      <c r="B77" s="116" t="s">
        <v>120</v>
      </c>
      <c r="C77" s="113">
        <v>4054156</v>
      </c>
      <c r="D77" s="113">
        <v>3692900</v>
      </c>
      <c r="E77" s="113">
        <f t="shared" si="9"/>
        <v>-361256</v>
      </c>
      <c r="F77" s="114">
        <f t="shared" si="10"/>
        <v>-8.9107572574908311E-2</v>
      </c>
    </row>
    <row r="78" spans="1:6" x14ac:dyDescent="0.2">
      <c r="A78" s="115">
        <v>9</v>
      </c>
      <c r="B78" s="116" t="s">
        <v>121</v>
      </c>
      <c r="C78" s="113">
        <v>1892058</v>
      </c>
      <c r="D78" s="113">
        <v>1791848</v>
      </c>
      <c r="E78" s="113">
        <f t="shared" si="9"/>
        <v>-100210</v>
      </c>
      <c r="F78" s="114">
        <f t="shared" si="10"/>
        <v>-5.2963492662487094E-2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503879</v>
      </c>
      <c r="D80" s="113">
        <v>386402</v>
      </c>
      <c r="E80" s="113">
        <f t="shared" si="9"/>
        <v>-117477</v>
      </c>
      <c r="F80" s="114">
        <f t="shared" si="10"/>
        <v>-0.23314525908005693</v>
      </c>
    </row>
    <row r="81" spans="1:6" ht="15.75" x14ac:dyDescent="0.25">
      <c r="A81" s="117"/>
      <c r="B81" s="118" t="s">
        <v>133</v>
      </c>
      <c r="C81" s="119">
        <f>SUM(C70:C80)</f>
        <v>155951027</v>
      </c>
      <c r="D81" s="119">
        <f>SUM(D70:D80)</f>
        <v>173208789</v>
      </c>
      <c r="E81" s="119">
        <f t="shared" si="9"/>
        <v>17257762</v>
      </c>
      <c r="F81" s="120">
        <f t="shared" si="10"/>
        <v>0.1106614193698128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73214881</v>
      </c>
      <c r="D84" s="119">
        <f t="shared" si="11"/>
        <v>84940261</v>
      </c>
      <c r="E84" s="119">
        <f t="shared" ref="E84:E95" si="12">D84-C84</f>
        <v>11725380</v>
      </c>
      <c r="F84" s="120">
        <f t="shared" ref="F84:F95" si="13">IF(C84=0,0,E84/C84)</f>
        <v>0.16015022956876759</v>
      </c>
    </row>
    <row r="85" spans="1:6" ht="15.75" x14ac:dyDescent="0.25">
      <c r="A85" s="130">
        <v>2</v>
      </c>
      <c r="B85" s="122" t="s">
        <v>114</v>
      </c>
      <c r="C85" s="119">
        <f t="shared" si="11"/>
        <v>12805078</v>
      </c>
      <c r="D85" s="119">
        <f t="shared" si="11"/>
        <v>14217957</v>
      </c>
      <c r="E85" s="119">
        <f t="shared" si="12"/>
        <v>1412879</v>
      </c>
      <c r="F85" s="120">
        <f t="shared" si="13"/>
        <v>0.11033739896000634</v>
      </c>
    </row>
    <row r="86" spans="1:6" ht="15.75" x14ac:dyDescent="0.25">
      <c r="A86" s="130">
        <v>3</v>
      </c>
      <c r="B86" s="122" t="s">
        <v>115</v>
      </c>
      <c r="C86" s="119">
        <f t="shared" si="11"/>
        <v>31231570</v>
      </c>
      <c r="D86" s="119">
        <f t="shared" si="11"/>
        <v>35424169</v>
      </c>
      <c r="E86" s="119">
        <f t="shared" si="12"/>
        <v>4192599</v>
      </c>
      <c r="F86" s="120">
        <f t="shared" si="13"/>
        <v>0.1342423387617081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2690347</v>
      </c>
      <c r="D88" s="119">
        <f t="shared" si="11"/>
        <v>3190096</v>
      </c>
      <c r="E88" s="119">
        <f t="shared" si="12"/>
        <v>499749</v>
      </c>
      <c r="F88" s="120">
        <f t="shared" si="13"/>
        <v>0.1857563355210313</v>
      </c>
    </row>
    <row r="89" spans="1:6" ht="15.75" x14ac:dyDescent="0.25">
      <c r="A89" s="130">
        <v>6</v>
      </c>
      <c r="B89" s="122" t="s">
        <v>118</v>
      </c>
      <c r="C89" s="119">
        <f t="shared" si="11"/>
        <v>9693769</v>
      </c>
      <c r="D89" s="119">
        <f t="shared" si="11"/>
        <v>10037188</v>
      </c>
      <c r="E89" s="119">
        <f t="shared" si="12"/>
        <v>343419</v>
      </c>
      <c r="F89" s="120">
        <f t="shared" si="13"/>
        <v>3.5426777757959778E-2</v>
      </c>
    </row>
    <row r="90" spans="1:6" ht="15.75" x14ac:dyDescent="0.25">
      <c r="A90" s="130">
        <v>7</v>
      </c>
      <c r="B90" s="122" t="s">
        <v>119</v>
      </c>
      <c r="C90" s="119">
        <f t="shared" si="11"/>
        <v>135568158</v>
      </c>
      <c r="D90" s="119">
        <f t="shared" si="11"/>
        <v>140895371</v>
      </c>
      <c r="E90" s="119">
        <f t="shared" si="12"/>
        <v>5327213</v>
      </c>
      <c r="F90" s="120">
        <f t="shared" si="13"/>
        <v>3.9295459041348041E-2</v>
      </c>
    </row>
    <row r="91" spans="1:6" ht="15.75" x14ac:dyDescent="0.25">
      <c r="A91" s="130">
        <v>8</v>
      </c>
      <c r="B91" s="122" t="s">
        <v>120</v>
      </c>
      <c r="C91" s="119">
        <f t="shared" si="11"/>
        <v>6488562</v>
      </c>
      <c r="D91" s="119">
        <f t="shared" si="11"/>
        <v>5733780</v>
      </c>
      <c r="E91" s="119">
        <f t="shared" si="12"/>
        <v>-754782</v>
      </c>
      <c r="F91" s="120">
        <f t="shared" si="13"/>
        <v>-0.11632500390687489</v>
      </c>
    </row>
    <row r="92" spans="1:6" ht="15.75" x14ac:dyDescent="0.25">
      <c r="A92" s="130">
        <v>9</v>
      </c>
      <c r="B92" s="122" t="s">
        <v>121</v>
      </c>
      <c r="C92" s="119">
        <f t="shared" si="11"/>
        <v>2385465</v>
      </c>
      <c r="D92" s="119">
        <f t="shared" si="11"/>
        <v>2184757</v>
      </c>
      <c r="E92" s="119">
        <f t="shared" si="12"/>
        <v>-200708</v>
      </c>
      <c r="F92" s="120">
        <f t="shared" si="13"/>
        <v>-8.4137893450543191E-2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824523</v>
      </c>
      <c r="D94" s="119">
        <f t="shared" si="11"/>
        <v>1468169</v>
      </c>
      <c r="E94" s="119">
        <f t="shared" si="12"/>
        <v>643646</v>
      </c>
      <c r="F94" s="120">
        <f t="shared" si="13"/>
        <v>0.78062831479534223</v>
      </c>
    </row>
    <row r="95" spans="1:6" ht="18.75" customHeight="1" thickBot="1" x14ac:dyDescent="0.3">
      <c r="A95" s="131"/>
      <c r="B95" s="132" t="s">
        <v>134</v>
      </c>
      <c r="C95" s="128">
        <f>SUM(C84:C94)</f>
        <v>274902353</v>
      </c>
      <c r="D95" s="128">
        <f>SUM(D84:D94)</f>
        <v>298091748</v>
      </c>
      <c r="E95" s="128">
        <f t="shared" si="12"/>
        <v>23189395</v>
      </c>
      <c r="F95" s="129">
        <f t="shared" si="13"/>
        <v>8.4355025509730716E-2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4536</v>
      </c>
      <c r="D100" s="133">
        <v>4221</v>
      </c>
      <c r="E100" s="133">
        <f t="shared" ref="E100:E111" si="14">D100-C100</f>
        <v>-315</v>
      </c>
      <c r="F100" s="114">
        <f t="shared" ref="F100:F111" si="15">IF(C100=0,0,E100/C100)</f>
        <v>-6.9444444444444448E-2</v>
      </c>
    </row>
    <row r="101" spans="1:6" x14ac:dyDescent="0.2">
      <c r="A101" s="115">
        <v>2</v>
      </c>
      <c r="B101" s="116" t="s">
        <v>114</v>
      </c>
      <c r="C101" s="133">
        <v>708</v>
      </c>
      <c r="D101" s="133">
        <v>685</v>
      </c>
      <c r="E101" s="133">
        <f t="shared" si="14"/>
        <v>-23</v>
      </c>
      <c r="F101" s="114">
        <f t="shared" si="15"/>
        <v>-3.2485875706214688E-2</v>
      </c>
    </row>
    <row r="102" spans="1:6" x14ac:dyDescent="0.2">
      <c r="A102" s="115">
        <v>3</v>
      </c>
      <c r="B102" s="116" t="s">
        <v>115</v>
      </c>
      <c r="C102" s="133">
        <v>2341</v>
      </c>
      <c r="D102" s="133">
        <v>2282</v>
      </c>
      <c r="E102" s="133">
        <f t="shared" si="14"/>
        <v>-59</v>
      </c>
      <c r="F102" s="114">
        <f t="shared" si="15"/>
        <v>-2.5202904741563434E-2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189</v>
      </c>
      <c r="D104" s="133">
        <v>217</v>
      </c>
      <c r="E104" s="133">
        <f t="shared" si="14"/>
        <v>28</v>
      </c>
      <c r="F104" s="114">
        <f t="shared" si="15"/>
        <v>0.14814814814814814</v>
      </c>
    </row>
    <row r="105" spans="1:6" x14ac:dyDescent="0.2">
      <c r="A105" s="115">
        <v>6</v>
      </c>
      <c r="B105" s="116" t="s">
        <v>118</v>
      </c>
      <c r="C105" s="133">
        <v>127</v>
      </c>
      <c r="D105" s="133">
        <v>122</v>
      </c>
      <c r="E105" s="133">
        <f t="shared" si="14"/>
        <v>-5</v>
      </c>
      <c r="F105" s="114">
        <f t="shared" si="15"/>
        <v>-3.937007874015748E-2</v>
      </c>
    </row>
    <row r="106" spans="1:6" x14ac:dyDescent="0.2">
      <c r="A106" s="115">
        <v>7</v>
      </c>
      <c r="B106" s="116" t="s">
        <v>119</v>
      </c>
      <c r="C106" s="133">
        <v>3208</v>
      </c>
      <c r="D106" s="133">
        <v>2878</v>
      </c>
      <c r="E106" s="133">
        <f t="shared" si="14"/>
        <v>-330</v>
      </c>
      <c r="F106" s="114">
        <f t="shared" si="15"/>
        <v>-0.10286783042394015</v>
      </c>
    </row>
    <row r="107" spans="1:6" x14ac:dyDescent="0.2">
      <c r="A107" s="115">
        <v>8</v>
      </c>
      <c r="B107" s="116" t="s">
        <v>120</v>
      </c>
      <c r="C107" s="133">
        <v>87</v>
      </c>
      <c r="D107" s="133">
        <v>80</v>
      </c>
      <c r="E107" s="133">
        <f t="shared" si="14"/>
        <v>-7</v>
      </c>
      <c r="F107" s="114">
        <f t="shared" si="15"/>
        <v>-8.0459770114942528E-2</v>
      </c>
    </row>
    <row r="108" spans="1:6" x14ac:dyDescent="0.2">
      <c r="A108" s="115">
        <v>9</v>
      </c>
      <c r="B108" s="116" t="s">
        <v>121</v>
      </c>
      <c r="C108" s="133">
        <v>132</v>
      </c>
      <c r="D108" s="133">
        <v>141</v>
      </c>
      <c r="E108" s="133">
        <f t="shared" si="14"/>
        <v>9</v>
      </c>
      <c r="F108" s="114">
        <f t="shared" si="15"/>
        <v>6.8181818181818177E-2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68</v>
      </c>
      <c r="D110" s="133">
        <v>64</v>
      </c>
      <c r="E110" s="133">
        <f t="shared" si="14"/>
        <v>-4</v>
      </c>
      <c r="F110" s="114">
        <f t="shared" si="15"/>
        <v>-5.8823529411764705E-2</v>
      </c>
    </row>
    <row r="111" spans="1:6" ht="15.75" x14ac:dyDescent="0.25">
      <c r="A111" s="117"/>
      <c r="B111" s="118" t="s">
        <v>138</v>
      </c>
      <c r="C111" s="134">
        <f>SUM(C100:C110)</f>
        <v>11396</v>
      </c>
      <c r="D111" s="134">
        <f>SUM(D100:D110)</f>
        <v>10690</v>
      </c>
      <c r="E111" s="134">
        <f t="shared" si="14"/>
        <v>-706</v>
      </c>
      <c r="F111" s="120">
        <f t="shared" si="15"/>
        <v>-6.195156195156195E-2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23358</v>
      </c>
      <c r="D113" s="133">
        <v>22940</v>
      </c>
      <c r="E113" s="133">
        <f t="shared" ref="E113:E124" si="16">D113-C113</f>
        <v>-418</v>
      </c>
      <c r="F113" s="114">
        <f t="shared" ref="F113:F124" si="17">IF(C113=0,0,E113/C113)</f>
        <v>-1.7895367754088534E-2</v>
      </c>
    </row>
    <row r="114" spans="1:6" x14ac:dyDescent="0.2">
      <c r="A114" s="115">
        <v>2</v>
      </c>
      <c r="B114" s="116" t="s">
        <v>114</v>
      </c>
      <c r="C114" s="133">
        <v>3362</v>
      </c>
      <c r="D114" s="133">
        <v>3666</v>
      </c>
      <c r="E114" s="133">
        <f t="shared" si="16"/>
        <v>304</v>
      </c>
      <c r="F114" s="114">
        <f t="shared" si="17"/>
        <v>9.0422367638310533E-2</v>
      </c>
    </row>
    <row r="115" spans="1:6" x14ac:dyDescent="0.2">
      <c r="A115" s="115">
        <v>3</v>
      </c>
      <c r="B115" s="116" t="s">
        <v>115</v>
      </c>
      <c r="C115" s="133">
        <v>9062</v>
      </c>
      <c r="D115" s="133">
        <v>9668</v>
      </c>
      <c r="E115" s="133">
        <f t="shared" si="16"/>
        <v>606</v>
      </c>
      <c r="F115" s="114">
        <f t="shared" si="17"/>
        <v>6.6872655043036855E-2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494</v>
      </c>
      <c r="D117" s="133">
        <v>586</v>
      </c>
      <c r="E117" s="133">
        <f t="shared" si="16"/>
        <v>92</v>
      </c>
      <c r="F117" s="114">
        <f t="shared" si="17"/>
        <v>0.18623481781376519</v>
      </c>
    </row>
    <row r="118" spans="1:6" x14ac:dyDescent="0.2">
      <c r="A118" s="115">
        <v>6</v>
      </c>
      <c r="B118" s="116" t="s">
        <v>118</v>
      </c>
      <c r="C118" s="133">
        <v>406</v>
      </c>
      <c r="D118" s="133">
        <v>440</v>
      </c>
      <c r="E118" s="133">
        <f t="shared" si="16"/>
        <v>34</v>
      </c>
      <c r="F118" s="114">
        <f t="shared" si="17"/>
        <v>8.3743842364532015E-2</v>
      </c>
    </row>
    <row r="119" spans="1:6" x14ac:dyDescent="0.2">
      <c r="A119" s="115">
        <v>7</v>
      </c>
      <c r="B119" s="116" t="s">
        <v>119</v>
      </c>
      <c r="C119" s="133">
        <v>10749</v>
      </c>
      <c r="D119" s="133">
        <v>10413</v>
      </c>
      <c r="E119" s="133">
        <f t="shared" si="16"/>
        <v>-336</v>
      </c>
      <c r="F119" s="114">
        <f t="shared" si="17"/>
        <v>-3.1258721741557353E-2</v>
      </c>
    </row>
    <row r="120" spans="1:6" x14ac:dyDescent="0.2">
      <c r="A120" s="115">
        <v>8</v>
      </c>
      <c r="B120" s="116" t="s">
        <v>120</v>
      </c>
      <c r="C120" s="133">
        <v>298</v>
      </c>
      <c r="D120" s="133">
        <v>269</v>
      </c>
      <c r="E120" s="133">
        <f t="shared" si="16"/>
        <v>-29</v>
      </c>
      <c r="F120" s="114">
        <f t="shared" si="17"/>
        <v>-9.7315436241610737E-2</v>
      </c>
    </row>
    <row r="121" spans="1:6" x14ac:dyDescent="0.2">
      <c r="A121" s="115">
        <v>9</v>
      </c>
      <c r="B121" s="116" t="s">
        <v>121</v>
      </c>
      <c r="C121" s="133">
        <v>496</v>
      </c>
      <c r="D121" s="133">
        <v>546</v>
      </c>
      <c r="E121" s="133">
        <f t="shared" si="16"/>
        <v>50</v>
      </c>
      <c r="F121" s="114">
        <f t="shared" si="17"/>
        <v>0.10080645161290322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240</v>
      </c>
      <c r="D123" s="133">
        <v>312</v>
      </c>
      <c r="E123" s="133">
        <f t="shared" si="16"/>
        <v>72</v>
      </c>
      <c r="F123" s="114">
        <f t="shared" si="17"/>
        <v>0.3</v>
      </c>
    </row>
    <row r="124" spans="1:6" ht="15.75" x14ac:dyDescent="0.25">
      <c r="A124" s="117"/>
      <c r="B124" s="118" t="s">
        <v>140</v>
      </c>
      <c r="C124" s="134">
        <f>SUM(C113:C123)</f>
        <v>48465</v>
      </c>
      <c r="D124" s="134">
        <f>SUM(D113:D123)</f>
        <v>48840</v>
      </c>
      <c r="E124" s="134">
        <f t="shared" si="16"/>
        <v>375</v>
      </c>
      <c r="F124" s="120">
        <f t="shared" si="17"/>
        <v>7.7375425564840603E-3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99970</v>
      </c>
      <c r="D126" s="133">
        <v>116679</v>
      </c>
      <c r="E126" s="133">
        <f t="shared" ref="E126:E137" si="18">D126-C126</f>
        <v>16709</v>
      </c>
      <c r="F126" s="114">
        <f t="shared" ref="F126:F137" si="19">IF(C126=0,0,E126/C126)</f>
        <v>0.16714014204261279</v>
      </c>
    </row>
    <row r="127" spans="1:6" x14ac:dyDescent="0.2">
      <c r="A127" s="115">
        <v>2</v>
      </c>
      <c r="B127" s="116" t="s">
        <v>114</v>
      </c>
      <c r="C127" s="133">
        <v>16208</v>
      </c>
      <c r="D127" s="133">
        <v>16673</v>
      </c>
      <c r="E127" s="133">
        <f t="shared" si="18"/>
        <v>465</v>
      </c>
      <c r="F127" s="114">
        <f t="shared" si="19"/>
        <v>2.8689536031589337E-2</v>
      </c>
    </row>
    <row r="128" spans="1:6" x14ac:dyDescent="0.2">
      <c r="A128" s="115">
        <v>3</v>
      </c>
      <c r="B128" s="116" t="s">
        <v>115</v>
      </c>
      <c r="C128" s="133">
        <v>76626</v>
      </c>
      <c r="D128" s="133">
        <v>91277</v>
      </c>
      <c r="E128" s="133">
        <f t="shared" si="18"/>
        <v>14651</v>
      </c>
      <c r="F128" s="114">
        <f t="shared" si="19"/>
        <v>0.19120141988359043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6563</v>
      </c>
      <c r="D130" s="133">
        <v>6884</v>
      </c>
      <c r="E130" s="133">
        <f t="shared" si="18"/>
        <v>321</v>
      </c>
      <c r="F130" s="114">
        <f t="shared" si="19"/>
        <v>4.8910559195489867E-2</v>
      </c>
    </row>
    <row r="131" spans="1:6" x14ac:dyDescent="0.2">
      <c r="A131" s="115">
        <v>6</v>
      </c>
      <c r="B131" s="116" t="s">
        <v>118</v>
      </c>
      <c r="C131" s="133">
        <v>8622</v>
      </c>
      <c r="D131" s="133">
        <v>7685</v>
      </c>
      <c r="E131" s="133">
        <f t="shared" si="18"/>
        <v>-937</v>
      </c>
      <c r="F131" s="114">
        <f t="shared" si="19"/>
        <v>-0.10867548132683832</v>
      </c>
    </row>
    <row r="132" spans="1:6" x14ac:dyDescent="0.2">
      <c r="A132" s="115">
        <v>7</v>
      </c>
      <c r="B132" s="116" t="s">
        <v>119</v>
      </c>
      <c r="C132" s="133">
        <v>163854</v>
      </c>
      <c r="D132" s="133">
        <v>160039</v>
      </c>
      <c r="E132" s="133">
        <f t="shared" si="18"/>
        <v>-3815</v>
      </c>
      <c r="F132" s="114">
        <f t="shared" si="19"/>
        <v>-2.3282922601828456E-2</v>
      </c>
    </row>
    <row r="133" spans="1:6" x14ac:dyDescent="0.2">
      <c r="A133" s="115">
        <v>8</v>
      </c>
      <c r="B133" s="116" t="s">
        <v>120</v>
      </c>
      <c r="C133" s="133">
        <v>3955</v>
      </c>
      <c r="D133" s="133">
        <v>4253</v>
      </c>
      <c r="E133" s="133">
        <f t="shared" si="18"/>
        <v>298</v>
      </c>
      <c r="F133" s="114">
        <f t="shared" si="19"/>
        <v>7.534766118836915E-2</v>
      </c>
    </row>
    <row r="134" spans="1:6" x14ac:dyDescent="0.2">
      <c r="A134" s="115">
        <v>9</v>
      </c>
      <c r="B134" s="116" t="s">
        <v>121</v>
      </c>
      <c r="C134" s="133">
        <v>13537</v>
      </c>
      <c r="D134" s="133">
        <v>9073</v>
      </c>
      <c r="E134" s="133">
        <f t="shared" si="18"/>
        <v>-4464</v>
      </c>
      <c r="F134" s="114">
        <f t="shared" si="19"/>
        <v>-0.32976287212824112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781</v>
      </c>
      <c r="D136" s="133">
        <v>1016</v>
      </c>
      <c r="E136" s="133">
        <f t="shared" si="18"/>
        <v>235</v>
      </c>
      <c r="F136" s="114">
        <f t="shared" si="19"/>
        <v>0.30089628681177977</v>
      </c>
    </row>
    <row r="137" spans="1:6" ht="15.75" x14ac:dyDescent="0.25">
      <c r="A137" s="117"/>
      <c r="B137" s="118" t="s">
        <v>142</v>
      </c>
      <c r="C137" s="134">
        <f>SUM(C126:C136)</f>
        <v>390116</v>
      </c>
      <c r="D137" s="134">
        <f>SUM(D126:D136)</f>
        <v>413579</v>
      </c>
      <c r="E137" s="134">
        <f t="shared" si="18"/>
        <v>23463</v>
      </c>
      <c r="F137" s="120">
        <f t="shared" si="19"/>
        <v>6.0143649581150219E-2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18646974</v>
      </c>
      <c r="D142" s="113">
        <v>25567324</v>
      </c>
      <c r="E142" s="113">
        <f t="shared" ref="E142:E153" si="20">D142-C142</f>
        <v>6920350</v>
      </c>
      <c r="F142" s="114">
        <f t="shared" ref="F142:F153" si="21">IF(C142=0,0,E142/C142)</f>
        <v>0.37112455886944445</v>
      </c>
    </row>
    <row r="143" spans="1:6" x14ac:dyDescent="0.2">
      <c r="A143" s="115">
        <v>2</v>
      </c>
      <c r="B143" s="116" t="s">
        <v>114</v>
      </c>
      <c r="C143" s="113">
        <v>2809238</v>
      </c>
      <c r="D143" s="113">
        <v>4965978</v>
      </c>
      <c r="E143" s="113">
        <f t="shared" si="20"/>
        <v>2156740</v>
      </c>
      <c r="F143" s="114">
        <f t="shared" si="21"/>
        <v>0.76773132073537376</v>
      </c>
    </row>
    <row r="144" spans="1:6" x14ac:dyDescent="0.2">
      <c r="A144" s="115">
        <v>3</v>
      </c>
      <c r="B144" s="116" t="s">
        <v>115</v>
      </c>
      <c r="C144" s="113">
        <v>31476126</v>
      </c>
      <c r="D144" s="113">
        <v>49578900</v>
      </c>
      <c r="E144" s="113">
        <f t="shared" si="20"/>
        <v>18102774</v>
      </c>
      <c r="F144" s="114">
        <f t="shared" si="21"/>
        <v>0.57512712968552737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2209431</v>
      </c>
      <c r="D146" s="113">
        <v>3172718</v>
      </c>
      <c r="E146" s="113">
        <f t="shared" si="20"/>
        <v>963287</v>
      </c>
      <c r="F146" s="114">
        <f t="shared" si="21"/>
        <v>0.4359887228883817</v>
      </c>
    </row>
    <row r="147" spans="1:6" x14ac:dyDescent="0.2">
      <c r="A147" s="115">
        <v>6</v>
      </c>
      <c r="B147" s="116" t="s">
        <v>118</v>
      </c>
      <c r="C147" s="113">
        <v>2741393</v>
      </c>
      <c r="D147" s="113">
        <v>2983504</v>
      </c>
      <c r="E147" s="113">
        <f t="shared" si="20"/>
        <v>242111</v>
      </c>
      <c r="F147" s="114">
        <f t="shared" si="21"/>
        <v>8.8316779097342119E-2</v>
      </c>
    </row>
    <row r="148" spans="1:6" x14ac:dyDescent="0.2">
      <c r="A148" s="115">
        <v>7</v>
      </c>
      <c r="B148" s="116" t="s">
        <v>119</v>
      </c>
      <c r="C148" s="113">
        <v>27775579</v>
      </c>
      <c r="D148" s="113">
        <v>40588931</v>
      </c>
      <c r="E148" s="113">
        <f t="shared" si="20"/>
        <v>12813352</v>
      </c>
      <c r="F148" s="114">
        <f t="shared" si="21"/>
        <v>0.46131718802333516</v>
      </c>
    </row>
    <row r="149" spans="1:6" x14ac:dyDescent="0.2">
      <c r="A149" s="115">
        <v>8</v>
      </c>
      <c r="B149" s="116" t="s">
        <v>120</v>
      </c>
      <c r="C149" s="113">
        <v>1361822</v>
      </c>
      <c r="D149" s="113">
        <v>1827402</v>
      </c>
      <c r="E149" s="113">
        <f t="shared" si="20"/>
        <v>465580</v>
      </c>
      <c r="F149" s="114">
        <f t="shared" si="21"/>
        <v>0.34188021635720378</v>
      </c>
    </row>
    <row r="150" spans="1:6" x14ac:dyDescent="0.2">
      <c r="A150" s="115">
        <v>9</v>
      </c>
      <c r="B150" s="116" t="s">
        <v>121</v>
      </c>
      <c r="C150" s="113">
        <v>6391147</v>
      </c>
      <c r="D150" s="113">
        <v>6921351</v>
      </c>
      <c r="E150" s="113">
        <f t="shared" si="20"/>
        <v>530204</v>
      </c>
      <c r="F150" s="114">
        <f t="shared" si="21"/>
        <v>8.2959130810165996E-2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790310</v>
      </c>
      <c r="D152" s="113">
        <v>1209439</v>
      </c>
      <c r="E152" s="113">
        <f t="shared" si="20"/>
        <v>419129</v>
      </c>
      <c r="F152" s="114">
        <f t="shared" si="21"/>
        <v>0.53033493186218061</v>
      </c>
    </row>
    <row r="153" spans="1:6" ht="33.75" customHeight="1" x14ac:dyDescent="0.25">
      <c r="A153" s="117"/>
      <c r="B153" s="118" t="s">
        <v>146</v>
      </c>
      <c r="C153" s="119">
        <f>SUM(C142:C152)</f>
        <v>94202020</v>
      </c>
      <c r="D153" s="119">
        <f>SUM(D142:D152)</f>
        <v>136815547</v>
      </c>
      <c r="E153" s="119">
        <f t="shared" si="20"/>
        <v>42613527</v>
      </c>
      <c r="F153" s="120">
        <f t="shared" si="21"/>
        <v>0.45236319773185329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4142762</v>
      </c>
      <c r="D155" s="113">
        <v>6079242</v>
      </c>
      <c r="E155" s="113">
        <f t="shared" ref="E155:E166" si="22">D155-C155</f>
        <v>1936480</v>
      </c>
      <c r="F155" s="114">
        <f t="shared" ref="F155:F166" si="23">IF(C155=0,0,E155/C155)</f>
        <v>0.46743694182769852</v>
      </c>
    </row>
    <row r="156" spans="1:6" x14ac:dyDescent="0.2">
      <c r="A156" s="115">
        <v>2</v>
      </c>
      <c r="B156" s="116" t="s">
        <v>114</v>
      </c>
      <c r="C156" s="113">
        <v>639228</v>
      </c>
      <c r="D156" s="113">
        <v>1128550</v>
      </c>
      <c r="E156" s="113">
        <f t="shared" si="22"/>
        <v>489322</v>
      </c>
      <c r="F156" s="114">
        <f t="shared" si="23"/>
        <v>0.76548899610154753</v>
      </c>
    </row>
    <row r="157" spans="1:6" x14ac:dyDescent="0.2">
      <c r="A157" s="115">
        <v>3</v>
      </c>
      <c r="B157" s="116" t="s">
        <v>115</v>
      </c>
      <c r="C157" s="113">
        <v>7433339</v>
      </c>
      <c r="D157" s="113">
        <v>11253139</v>
      </c>
      <c r="E157" s="113">
        <f t="shared" si="22"/>
        <v>3819800</v>
      </c>
      <c r="F157" s="114">
        <f t="shared" si="23"/>
        <v>0.51387404771933587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615798</v>
      </c>
      <c r="D159" s="113">
        <v>891549</v>
      </c>
      <c r="E159" s="113">
        <f t="shared" si="22"/>
        <v>275751</v>
      </c>
      <c r="F159" s="114">
        <f t="shared" si="23"/>
        <v>0.44779456899827541</v>
      </c>
    </row>
    <row r="160" spans="1:6" x14ac:dyDescent="0.2">
      <c r="A160" s="115">
        <v>6</v>
      </c>
      <c r="B160" s="116" t="s">
        <v>118</v>
      </c>
      <c r="C160" s="113">
        <v>2157645</v>
      </c>
      <c r="D160" s="113">
        <v>2398907</v>
      </c>
      <c r="E160" s="113">
        <f t="shared" si="22"/>
        <v>241262</v>
      </c>
      <c r="F160" s="114">
        <f t="shared" si="23"/>
        <v>0.11181728226839911</v>
      </c>
    </row>
    <row r="161" spans="1:6" x14ac:dyDescent="0.2">
      <c r="A161" s="115">
        <v>7</v>
      </c>
      <c r="B161" s="116" t="s">
        <v>119</v>
      </c>
      <c r="C161" s="113">
        <v>20723758</v>
      </c>
      <c r="D161" s="113">
        <v>30587740</v>
      </c>
      <c r="E161" s="113">
        <f t="shared" si="22"/>
        <v>9863982</v>
      </c>
      <c r="F161" s="114">
        <f t="shared" si="23"/>
        <v>0.47597457951400512</v>
      </c>
    </row>
    <row r="162" spans="1:6" x14ac:dyDescent="0.2">
      <c r="A162" s="115">
        <v>8</v>
      </c>
      <c r="B162" s="116" t="s">
        <v>120</v>
      </c>
      <c r="C162" s="113">
        <v>1116905</v>
      </c>
      <c r="D162" s="113">
        <v>1543635</v>
      </c>
      <c r="E162" s="113">
        <f t="shared" si="22"/>
        <v>426730</v>
      </c>
      <c r="F162" s="114">
        <f t="shared" si="23"/>
        <v>0.38206472349931281</v>
      </c>
    </row>
    <row r="163" spans="1:6" x14ac:dyDescent="0.2">
      <c r="A163" s="115">
        <v>9</v>
      </c>
      <c r="B163" s="116" t="s">
        <v>121</v>
      </c>
      <c r="C163" s="113">
        <v>1056074</v>
      </c>
      <c r="D163" s="113">
        <v>1148857</v>
      </c>
      <c r="E163" s="113">
        <f t="shared" si="22"/>
        <v>92783</v>
      </c>
      <c r="F163" s="114">
        <f t="shared" si="23"/>
        <v>8.7856532780846791E-2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143881</v>
      </c>
      <c r="D165" s="113">
        <v>238602</v>
      </c>
      <c r="E165" s="113">
        <f t="shared" si="22"/>
        <v>94721</v>
      </c>
      <c r="F165" s="114">
        <f t="shared" si="23"/>
        <v>0.65832875779289834</v>
      </c>
    </row>
    <row r="166" spans="1:6" ht="33.75" customHeight="1" x14ac:dyDescent="0.25">
      <c r="A166" s="117"/>
      <c r="B166" s="118" t="s">
        <v>148</v>
      </c>
      <c r="C166" s="119">
        <f>SUM(C155:C165)</f>
        <v>38029390</v>
      </c>
      <c r="D166" s="119">
        <f>SUM(D155:D165)</f>
        <v>55270221</v>
      </c>
      <c r="E166" s="119">
        <f t="shared" si="22"/>
        <v>17240831</v>
      </c>
      <c r="F166" s="120">
        <f t="shared" si="23"/>
        <v>0.45335544430241981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12219</v>
      </c>
      <c r="D168" s="133">
        <v>11015</v>
      </c>
      <c r="E168" s="133">
        <f t="shared" ref="E168:E179" si="24">D168-C168</f>
        <v>-1204</v>
      </c>
      <c r="F168" s="114">
        <f t="shared" ref="F168:F179" si="25">IF(C168=0,0,E168/C168)</f>
        <v>-9.8535068336197726E-2</v>
      </c>
    </row>
    <row r="169" spans="1:6" x14ac:dyDescent="0.2">
      <c r="A169" s="115">
        <v>2</v>
      </c>
      <c r="B169" s="116" t="s">
        <v>114</v>
      </c>
      <c r="C169" s="133">
        <v>1137</v>
      </c>
      <c r="D169" s="133">
        <v>1769</v>
      </c>
      <c r="E169" s="133">
        <f t="shared" si="24"/>
        <v>632</v>
      </c>
      <c r="F169" s="114">
        <f t="shared" si="25"/>
        <v>0.55584872471416003</v>
      </c>
    </row>
    <row r="170" spans="1:6" x14ac:dyDescent="0.2">
      <c r="A170" s="115">
        <v>3</v>
      </c>
      <c r="B170" s="116" t="s">
        <v>115</v>
      </c>
      <c r="C170" s="133">
        <v>28408</v>
      </c>
      <c r="D170" s="133">
        <v>29965</v>
      </c>
      <c r="E170" s="133">
        <f t="shared" si="24"/>
        <v>1557</v>
      </c>
      <c r="F170" s="114">
        <f t="shared" si="25"/>
        <v>5.4808504646578431E-2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1843</v>
      </c>
      <c r="D172" s="133">
        <v>1740</v>
      </c>
      <c r="E172" s="133">
        <f t="shared" si="24"/>
        <v>-103</v>
      </c>
      <c r="F172" s="114">
        <f t="shared" si="25"/>
        <v>-5.5887140531741729E-2</v>
      </c>
    </row>
    <row r="173" spans="1:6" x14ac:dyDescent="0.2">
      <c r="A173" s="115">
        <v>6</v>
      </c>
      <c r="B173" s="116" t="s">
        <v>118</v>
      </c>
      <c r="C173" s="133">
        <v>1734</v>
      </c>
      <c r="D173" s="133">
        <v>1529</v>
      </c>
      <c r="E173" s="133">
        <f t="shared" si="24"/>
        <v>-205</v>
      </c>
      <c r="F173" s="114">
        <f t="shared" si="25"/>
        <v>-0.1182237600922722</v>
      </c>
    </row>
    <row r="174" spans="1:6" x14ac:dyDescent="0.2">
      <c r="A174" s="115">
        <v>7</v>
      </c>
      <c r="B174" s="116" t="s">
        <v>119</v>
      </c>
      <c r="C174" s="133">
        <v>19344</v>
      </c>
      <c r="D174" s="133">
        <v>20180</v>
      </c>
      <c r="E174" s="133">
        <f t="shared" si="24"/>
        <v>836</v>
      </c>
      <c r="F174" s="114">
        <f t="shared" si="25"/>
        <v>4.3217535153019022E-2</v>
      </c>
    </row>
    <row r="175" spans="1:6" x14ac:dyDescent="0.2">
      <c r="A175" s="115">
        <v>8</v>
      </c>
      <c r="B175" s="116" t="s">
        <v>120</v>
      </c>
      <c r="C175" s="133">
        <v>1263</v>
      </c>
      <c r="D175" s="133">
        <v>1264</v>
      </c>
      <c r="E175" s="133">
        <f t="shared" si="24"/>
        <v>1</v>
      </c>
      <c r="F175" s="114">
        <f t="shared" si="25"/>
        <v>7.9176563737133805E-4</v>
      </c>
    </row>
    <row r="176" spans="1:6" x14ac:dyDescent="0.2">
      <c r="A176" s="115">
        <v>9</v>
      </c>
      <c r="B176" s="116" t="s">
        <v>121</v>
      </c>
      <c r="C176" s="133">
        <v>5102</v>
      </c>
      <c r="D176" s="133">
        <v>4087</v>
      </c>
      <c r="E176" s="133">
        <f t="shared" si="24"/>
        <v>-1015</v>
      </c>
      <c r="F176" s="114">
        <f t="shared" si="25"/>
        <v>-0.19894159153273225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505</v>
      </c>
      <c r="D178" s="133">
        <v>538</v>
      </c>
      <c r="E178" s="133">
        <f t="shared" si="24"/>
        <v>33</v>
      </c>
      <c r="F178" s="114">
        <f t="shared" si="25"/>
        <v>6.5346534653465349E-2</v>
      </c>
    </row>
    <row r="179" spans="1:6" ht="33.75" customHeight="1" x14ac:dyDescent="0.25">
      <c r="A179" s="117"/>
      <c r="B179" s="118" t="s">
        <v>150</v>
      </c>
      <c r="C179" s="134">
        <f>SUM(C168:C178)</f>
        <v>71555</v>
      </c>
      <c r="D179" s="134">
        <f>SUM(D168:D178)</f>
        <v>72087</v>
      </c>
      <c r="E179" s="134">
        <f t="shared" si="24"/>
        <v>532</v>
      </c>
      <c r="F179" s="120">
        <f t="shared" si="25"/>
        <v>7.4348403326112778E-3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FILING&amp;RWILLIAM W. BACKUS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40513043</v>
      </c>
      <c r="D15" s="157">
        <v>39084390</v>
      </c>
      <c r="E15" s="157">
        <f>+D15-C15</f>
        <v>-1428653</v>
      </c>
      <c r="F15" s="161">
        <f>IF(C15=0,0,E15/C15)</f>
        <v>-3.5264025958257443E-2</v>
      </c>
    </row>
    <row r="16" spans="1:6" ht="15" customHeight="1" x14ac:dyDescent="0.2">
      <c r="A16" s="147">
        <v>2</v>
      </c>
      <c r="B16" s="160" t="s">
        <v>157</v>
      </c>
      <c r="C16" s="157">
        <v>12360010</v>
      </c>
      <c r="D16" s="157">
        <v>13219670</v>
      </c>
      <c r="E16" s="157">
        <f>+D16-C16</f>
        <v>859660</v>
      </c>
      <c r="F16" s="161">
        <f>IF(C16=0,0,E16/C16)</f>
        <v>6.9551723663653989E-2</v>
      </c>
    </row>
    <row r="17" spans="1:6" ht="15" customHeight="1" x14ac:dyDescent="0.2">
      <c r="A17" s="147">
        <v>3</v>
      </c>
      <c r="B17" s="160" t="s">
        <v>158</v>
      </c>
      <c r="C17" s="157">
        <v>62652464</v>
      </c>
      <c r="D17" s="157">
        <v>57862829</v>
      </c>
      <c r="E17" s="157">
        <f>+D17-C17</f>
        <v>-4789635</v>
      </c>
      <c r="F17" s="161">
        <f>IF(C17=0,0,E17/C17)</f>
        <v>-7.6447671714874613E-2</v>
      </c>
    </row>
    <row r="18" spans="1:6" ht="15.75" customHeight="1" x14ac:dyDescent="0.25">
      <c r="A18" s="147"/>
      <c r="B18" s="162" t="s">
        <v>159</v>
      </c>
      <c r="C18" s="158">
        <f>SUM(C15:C17)</f>
        <v>115525517</v>
      </c>
      <c r="D18" s="158">
        <f>SUM(D15:D17)</f>
        <v>110166889</v>
      </c>
      <c r="E18" s="158">
        <f>+D18-C18</f>
        <v>-5358628</v>
      </c>
      <c r="F18" s="159">
        <f>IF(C18=0,0,E18/C18)</f>
        <v>-4.6384799991849419E-2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6901497</v>
      </c>
      <c r="D21" s="157">
        <v>6219772</v>
      </c>
      <c r="E21" s="157">
        <f>+D21-C21</f>
        <v>-681725</v>
      </c>
      <c r="F21" s="161">
        <f>IF(C21=0,0,E21/C21)</f>
        <v>-9.8779293825672895E-2</v>
      </c>
    </row>
    <row r="22" spans="1:6" ht="15" customHeight="1" x14ac:dyDescent="0.2">
      <c r="A22" s="147">
        <v>2</v>
      </c>
      <c r="B22" s="160" t="s">
        <v>162</v>
      </c>
      <c r="C22" s="157">
        <v>2034733</v>
      </c>
      <c r="D22" s="157">
        <v>2522646</v>
      </c>
      <c r="E22" s="157">
        <f>+D22-C22</f>
        <v>487913</v>
      </c>
      <c r="F22" s="161">
        <f>IF(C22=0,0,E22/C22)</f>
        <v>0.23979214963339171</v>
      </c>
    </row>
    <row r="23" spans="1:6" ht="15" customHeight="1" x14ac:dyDescent="0.2">
      <c r="A23" s="147">
        <v>3</v>
      </c>
      <c r="B23" s="160" t="s">
        <v>163</v>
      </c>
      <c r="C23" s="157">
        <v>17944384</v>
      </c>
      <c r="D23" s="157">
        <v>12705071</v>
      </c>
      <c r="E23" s="157">
        <f>+D23-C23</f>
        <v>-5239313</v>
      </c>
      <c r="F23" s="161">
        <f>IF(C23=0,0,E23/C23)</f>
        <v>-0.2919750825662224</v>
      </c>
    </row>
    <row r="24" spans="1:6" ht="15.75" customHeight="1" x14ac:dyDescent="0.25">
      <c r="A24" s="147"/>
      <c r="B24" s="162" t="s">
        <v>164</v>
      </c>
      <c r="C24" s="158">
        <f>SUM(C21:C23)</f>
        <v>26880614</v>
      </c>
      <c r="D24" s="158">
        <f>SUM(D21:D23)</f>
        <v>21447489</v>
      </c>
      <c r="E24" s="158">
        <f>+D24-C24</f>
        <v>-5433125</v>
      </c>
      <c r="F24" s="159">
        <f>IF(C24=0,0,E24/C24)</f>
        <v>-0.20212056912092857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490312</v>
      </c>
      <c r="D27" s="157">
        <v>1441445</v>
      </c>
      <c r="E27" s="157">
        <f>+D27-C27</f>
        <v>951133</v>
      </c>
      <c r="F27" s="161">
        <f>IF(C27=0,0,E27/C27)</f>
        <v>1.9398525836610159</v>
      </c>
    </row>
    <row r="28" spans="1:6" ht="15" customHeight="1" x14ac:dyDescent="0.2">
      <c r="A28" s="147">
        <v>2</v>
      </c>
      <c r="B28" s="160" t="s">
        <v>167</v>
      </c>
      <c r="C28" s="157">
        <v>1727329</v>
      </c>
      <c r="D28" s="157">
        <v>2624355</v>
      </c>
      <c r="E28" s="157">
        <f>+D28-C28</f>
        <v>897026</v>
      </c>
      <c r="F28" s="161">
        <f>IF(C28=0,0,E28/C28)</f>
        <v>0.51931392340428484</v>
      </c>
    </row>
    <row r="29" spans="1:6" ht="15" customHeight="1" x14ac:dyDescent="0.2">
      <c r="A29" s="147">
        <v>3</v>
      </c>
      <c r="B29" s="160" t="s">
        <v>168</v>
      </c>
      <c r="C29" s="157">
        <v>5573956</v>
      </c>
      <c r="D29" s="157">
        <v>11505728</v>
      </c>
      <c r="E29" s="157">
        <f>+D29-C29</f>
        <v>5931772</v>
      </c>
      <c r="F29" s="161">
        <f>IF(C29=0,0,E29/C29)</f>
        <v>1.0641942634638666</v>
      </c>
    </row>
    <row r="30" spans="1:6" ht="15.75" customHeight="1" x14ac:dyDescent="0.25">
      <c r="A30" s="147"/>
      <c r="B30" s="162" t="s">
        <v>169</v>
      </c>
      <c r="C30" s="158">
        <f>SUM(C27:C29)</f>
        <v>7791597</v>
      </c>
      <c r="D30" s="158">
        <f>SUM(D27:D29)</f>
        <v>15571528</v>
      </c>
      <c r="E30" s="158">
        <f>+D30-C30</f>
        <v>7779931</v>
      </c>
      <c r="F30" s="159">
        <f>IF(C30=0,0,E30/C30)</f>
        <v>0.99850274597107624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24292212</v>
      </c>
      <c r="D33" s="157">
        <v>24741168</v>
      </c>
      <c r="E33" s="157">
        <f>+D33-C33</f>
        <v>448956</v>
      </c>
      <c r="F33" s="161">
        <f>IF(C33=0,0,E33/C33)</f>
        <v>1.8481478755413464E-2</v>
      </c>
    </row>
    <row r="34" spans="1:6" ht="15" customHeight="1" x14ac:dyDescent="0.2">
      <c r="A34" s="147">
        <v>2</v>
      </c>
      <c r="B34" s="160" t="s">
        <v>173</v>
      </c>
      <c r="C34" s="157">
        <v>12613173</v>
      </c>
      <c r="D34" s="157">
        <v>14710101</v>
      </c>
      <c r="E34" s="157">
        <f>+D34-C34</f>
        <v>2096928</v>
      </c>
      <c r="F34" s="161">
        <f>IF(C34=0,0,E34/C34)</f>
        <v>0.16624904772177468</v>
      </c>
    </row>
    <row r="35" spans="1:6" ht="15.75" customHeight="1" x14ac:dyDescent="0.25">
      <c r="A35" s="147"/>
      <c r="B35" s="162" t="s">
        <v>174</v>
      </c>
      <c r="C35" s="158">
        <f>SUM(C33:C34)</f>
        <v>36905385</v>
      </c>
      <c r="D35" s="158">
        <f>SUM(D33:D34)</f>
        <v>39451269</v>
      </c>
      <c r="E35" s="158">
        <f>+D35-C35</f>
        <v>2545884</v>
      </c>
      <c r="F35" s="159">
        <f>IF(C35=0,0,E35/C35)</f>
        <v>6.89840791526765E-2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9093241</v>
      </c>
      <c r="D38" s="157">
        <v>9877709</v>
      </c>
      <c r="E38" s="157">
        <f>+D38-C38</f>
        <v>784468</v>
      </c>
      <c r="F38" s="161">
        <f>IF(C38=0,0,E38/C38)</f>
        <v>8.6269351048762488E-2</v>
      </c>
    </row>
    <row r="39" spans="1:6" ht="15" customHeight="1" x14ac:dyDescent="0.2">
      <c r="A39" s="147">
        <v>2</v>
      </c>
      <c r="B39" s="160" t="s">
        <v>178</v>
      </c>
      <c r="C39" s="157">
        <v>6357134</v>
      </c>
      <c r="D39" s="157">
        <v>5761447</v>
      </c>
      <c r="E39" s="157">
        <f>+D39-C39</f>
        <v>-595687</v>
      </c>
      <c r="F39" s="161">
        <f>IF(C39=0,0,E39/C39)</f>
        <v>-9.3703703587182524E-2</v>
      </c>
    </row>
    <row r="40" spans="1:6" ht="15" customHeight="1" x14ac:dyDescent="0.2">
      <c r="A40" s="147">
        <v>3</v>
      </c>
      <c r="B40" s="160" t="s">
        <v>179</v>
      </c>
      <c r="C40" s="157">
        <v>73256</v>
      </c>
      <c r="D40" s="157">
        <v>12198</v>
      </c>
      <c r="E40" s="157">
        <f>+D40-C40</f>
        <v>-61058</v>
      </c>
      <c r="F40" s="161">
        <f>IF(C40=0,0,E40/C40)</f>
        <v>-0.8334880419351316</v>
      </c>
    </row>
    <row r="41" spans="1:6" ht="15.75" customHeight="1" x14ac:dyDescent="0.25">
      <c r="A41" s="147"/>
      <c r="B41" s="162" t="s">
        <v>180</v>
      </c>
      <c r="C41" s="158">
        <f>SUM(C38:C40)</f>
        <v>15523631</v>
      </c>
      <c r="D41" s="158">
        <f>SUM(D38:D40)</f>
        <v>15651354</v>
      </c>
      <c r="E41" s="158">
        <f>+D41-C41</f>
        <v>127723</v>
      </c>
      <c r="F41" s="159">
        <f>IF(C41=0,0,E41/C41)</f>
        <v>8.2276498326970017E-3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3375173</v>
      </c>
      <c r="D47" s="157">
        <v>2992001</v>
      </c>
      <c r="E47" s="157">
        <f>+D47-C47</f>
        <v>-383172</v>
      </c>
      <c r="F47" s="161">
        <f>IF(C47=0,0,E47/C47)</f>
        <v>-0.11352662515373287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4531196</v>
      </c>
      <c r="D50" s="157">
        <v>1363097</v>
      </c>
      <c r="E50" s="157">
        <f>+D50-C50</f>
        <v>-3168099</v>
      </c>
      <c r="F50" s="161">
        <f>IF(C50=0,0,E50/C50)</f>
        <v>-0.69917500809940691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277220</v>
      </c>
      <c r="D53" s="157">
        <v>313514</v>
      </c>
      <c r="E53" s="157">
        <f t="shared" ref="E53:E59" si="0">+D53-C53</f>
        <v>36294</v>
      </c>
      <c r="F53" s="161">
        <f t="shared" ref="F53:F59" si="1">IF(C53=0,0,E53/C53)</f>
        <v>0.13092128995022004</v>
      </c>
    </row>
    <row r="54" spans="1:6" ht="15" customHeight="1" x14ac:dyDescent="0.2">
      <c r="A54" s="147">
        <v>2</v>
      </c>
      <c r="B54" s="160" t="s">
        <v>189</v>
      </c>
      <c r="C54" s="157">
        <v>1271172</v>
      </c>
      <c r="D54" s="157">
        <v>1362030</v>
      </c>
      <c r="E54" s="157">
        <f t="shared" si="0"/>
        <v>90858</v>
      </c>
      <c r="F54" s="161">
        <f t="shared" si="1"/>
        <v>7.1475771964769522E-2</v>
      </c>
    </row>
    <row r="55" spans="1:6" ht="15" customHeight="1" x14ac:dyDescent="0.2">
      <c r="A55" s="147">
        <v>3</v>
      </c>
      <c r="B55" s="160" t="s">
        <v>190</v>
      </c>
      <c r="C55" s="157">
        <v>31414</v>
      </c>
      <c r="D55" s="157">
        <v>21754</v>
      </c>
      <c r="E55" s="157">
        <f t="shared" si="0"/>
        <v>-9660</v>
      </c>
      <c r="F55" s="161">
        <f t="shared" si="1"/>
        <v>-0.30750620742344176</v>
      </c>
    </row>
    <row r="56" spans="1:6" ht="15" customHeight="1" x14ac:dyDescent="0.2">
      <c r="A56" s="147">
        <v>4</v>
      </c>
      <c r="B56" s="160" t="s">
        <v>191</v>
      </c>
      <c r="C56" s="157">
        <v>2527619</v>
      </c>
      <c r="D56" s="157">
        <v>2567193</v>
      </c>
      <c r="E56" s="157">
        <f t="shared" si="0"/>
        <v>39574</v>
      </c>
      <c r="F56" s="161">
        <f t="shared" si="1"/>
        <v>1.565663179458613E-2</v>
      </c>
    </row>
    <row r="57" spans="1:6" ht="15" customHeight="1" x14ac:dyDescent="0.2">
      <c r="A57" s="147">
        <v>5</v>
      </c>
      <c r="B57" s="160" t="s">
        <v>192</v>
      </c>
      <c r="C57" s="157">
        <v>419322</v>
      </c>
      <c r="D57" s="157">
        <v>484442</v>
      </c>
      <c r="E57" s="157">
        <f t="shared" si="0"/>
        <v>65120</v>
      </c>
      <c r="F57" s="161">
        <f t="shared" si="1"/>
        <v>0.15529831489881285</v>
      </c>
    </row>
    <row r="58" spans="1:6" ht="15" customHeight="1" x14ac:dyDescent="0.2">
      <c r="A58" s="147">
        <v>6</v>
      </c>
      <c r="B58" s="160" t="s">
        <v>193</v>
      </c>
      <c r="C58" s="157">
        <v>70203</v>
      </c>
      <c r="D58" s="157">
        <v>78328</v>
      </c>
      <c r="E58" s="157">
        <f t="shared" si="0"/>
        <v>8125</v>
      </c>
      <c r="F58" s="161">
        <f t="shared" si="1"/>
        <v>0.11573579476660542</v>
      </c>
    </row>
    <row r="59" spans="1:6" ht="15.75" customHeight="1" x14ac:dyDescent="0.25">
      <c r="A59" s="147"/>
      <c r="B59" s="162" t="s">
        <v>194</v>
      </c>
      <c r="C59" s="158">
        <f>SUM(C53:C58)</f>
        <v>4596950</v>
      </c>
      <c r="D59" s="158">
        <f>SUM(D53:D58)</f>
        <v>4827261</v>
      </c>
      <c r="E59" s="158">
        <f t="shared" si="0"/>
        <v>230311</v>
      </c>
      <c r="F59" s="159">
        <f t="shared" si="1"/>
        <v>5.0100827722729203E-2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346210</v>
      </c>
      <c r="D62" s="157">
        <v>596470</v>
      </c>
      <c r="E62" s="157">
        <f t="shared" ref="E62:E90" si="2">+D62-C62</f>
        <v>250260</v>
      </c>
      <c r="F62" s="161">
        <f t="shared" ref="F62:F90" si="3">IF(C62=0,0,E62/C62)</f>
        <v>0.7228560700153086</v>
      </c>
    </row>
    <row r="63" spans="1:6" ht="15" customHeight="1" x14ac:dyDescent="0.2">
      <c r="A63" s="147">
        <v>2</v>
      </c>
      <c r="B63" s="160" t="s">
        <v>198</v>
      </c>
      <c r="C63" s="157">
        <v>1478955</v>
      </c>
      <c r="D63" s="157">
        <v>609027</v>
      </c>
      <c r="E63" s="157">
        <f t="shared" si="2"/>
        <v>-869928</v>
      </c>
      <c r="F63" s="161">
        <f t="shared" si="3"/>
        <v>-0.5882045092649878</v>
      </c>
    </row>
    <row r="64" spans="1:6" ht="15" customHeight="1" x14ac:dyDescent="0.2">
      <c r="A64" s="147">
        <v>3</v>
      </c>
      <c r="B64" s="160" t="s">
        <v>199</v>
      </c>
      <c r="C64" s="157">
        <v>3163978</v>
      </c>
      <c r="D64" s="157">
        <v>2329706</v>
      </c>
      <c r="E64" s="157">
        <f t="shared" si="2"/>
        <v>-834272</v>
      </c>
      <c r="F64" s="161">
        <f t="shared" si="3"/>
        <v>-0.26367819245266561</v>
      </c>
    </row>
    <row r="65" spans="1:6" ht="15" customHeight="1" x14ac:dyDescent="0.2">
      <c r="A65" s="147">
        <v>4</v>
      </c>
      <c r="B65" s="160" t="s">
        <v>200</v>
      </c>
      <c r="C65" s="157">
        <v>924543</v>
      </c>
      <c r="D65" s="157">
        <v>776693</v>
      </c>
      <c r="E65" s="157">
        <f t="shared" si="2"/>
        <v>-147850</v>
      </c>
      <c r="F65" s="161">
        <f t="shared" si="3"/>
        <v>-0.15991684540362103</v>
      </c>
    </row>
    <row r="66" spans="1:6" ht="15" customHeight="1" x14ac:dyDescent="0.2">
      <c r="A66" s="147">
        <v>5</v>
      </c>
      <c r="B66" s="160" t="s">
        <v>201</v>
      </c>
      <c r="C66" s="157">
        <v>181057</v>
      </c>
      <c r="D66" s="157">
        <v>177585</v>
      </c>
      <c r="E66" s="157">
        <f t="shared" si="2"/>
        <v>-3472</v>
      </c>
      <c r="F66" s="161">
        <f t="shared" si="3"/>
        <v>-1.9176281502510259E-2</v>
      </c>
    </row>
    <row r="67" spans="1:6" ht="15" customHeight="1" x14ac:dyDescent="0.2">
      <c r="A67" s="147">
        <v>6</v>
      </c>
      <c r="B67" s="160" t="s">
        <v>202</v>
      </c>
      <c r="C67" s="157">
        <v>1096980</v>
      </c>
      <c r="D67" s="157">
        <v>1431604</v>
      </c>
      <c r="E67" s="157">
        <f t="shared" si="2"/>
        <v>334624</v>
      </c>
      <c r="F67" s="161">
        <f t="shared" si="3"/>
        <v>0.30504111287352548</v>
      </c>
    </row>
    <row r="68" spans="1:6" ht="15" customHeight="1" x14ac:dyDescent="0.2">
      <c r="A68" s="147">
        <v>7</v>
      </c>
      <c r="B68" s="160" t="s">
        <v>203</v>
      </c>
      <c r="C68" s="157">
        <v>1121594</v>
      </c>
      <c r="D68" s="157">
        <v>1023656</v>
      </c>
      <c r="E68" s="157">
        <f t="shared" si="2"/>
        <v>-97938</v>
      </c>
      <c r="F68" s="161">
        <f t="shared" si="3"/>
        <v>-8.732036726302031E-2</v>
      </c>
    </row>
    <row r="69" spans="1:6" ht="15" customHeight="1" x14ac:dyDescent="0.2">
      <c r="A69" s="147">
        <v>8</v>
      </c>
      <c r="B69" s="160" t="s">
        <v>204</v>
      </c>
      <c r="C69" s="157">
        <v>544134</v>
      </c>
      <c r="D69" s="157">
        <v>345001</v>
      </c>
      <c r="E69" s="157">
        <f t="shared" si="2"/>
        <v>-199133</v>
      </c>
      <c r="F69" s="161">
        <f t="shared" si="3"/>
        <v>-0.36596316348546498</v>
      </c>
    </row>
    <row r="70" spans="1:6" ht="15" customHeight="1" x14ac:dyDescent="0.2">
      <c r="A70" s="147">
        <v>9</v>
      </c>
      <c r="B70" s="160" t="s">
        <v>205</v>
      </c>
      <c r="C70" s="157">
        <v>63291</v>
      </c>
      <c r="D70" s="157">
        <v>39953</v>
      </c>
      <c r="E70" s="157">
        <f t="shared" si="2"/>
        <v>-23338</v>
      </c>
      <c r="F70" s="161">
        <f t="shared" si="3"/>
        <v>-0.36874121123066472</v>
      </c>
    </row>
    <row r="71" spans="1:6" ht="15" customHeight="1" x14ac:dyDescent="0.2">
      <c r="A71" s="147">
        <v>10</v>
      </c>
      <c r="B71" s="160" t="s">
        <v>206</v>
      </c>
      <c r="C71" s="157">
        <v>328946</v>
      </c>
      <c r="D71" s="157">
        <v>338964</v>
      </c>
      <c r="E71" s="157">
        <f t="shared" si="2"/>
        <v>10018</v>
      </c>
      <c r="F71" s="161">
        <f t="shared" si="3"/>
        <v>3.0454846692162238E-2</v>
      </c>
    </row>
    <row r="72" spans="1:6" ht="15" customHeight="1" x14ac:dyDescent="0.2">
      <c r="A72" s="147">
        <v>11</v>
      </c>
      <c r="B72" s="160" t="s">
        <v>207</v>
      </c>
      <c r="C72" s="157">
        <v>175606</v>
      </c>
      <c r="D72" s="157">
        <v>204168</v>
      </c>
      <c r="E72" s="157">
        <f t="shared" si="2"/>
        <v>28562</v>
      </c>
      <c r="F72" s="161">
        <f t="shared" si="3"/>
        <v>0.16264820108652325</v>
      </c>
    </row>
    <row r="73" spans="1:6" ht="15" customHeight="1" x14ac:dyDescent="0.2">
      <c r="A73" s="147">
        <v>12</v>
      </c>
      <c r="B73" s="160" t="s">
        <v>208</v>
      </c>
      <c r="C73" s="157">
        <v>1156201</v>
      </c>
      <c r="D73" s="157">
        <v>1238836</v>
      </c>
      <c r="E73" s="157">
        <f t="shared" si="2"/>
        <v>82635</v>
      </c>
      <c r="F73" s="161">
        <f t="shared" si="3"/>
        <v>7.1471136938992444E-2</v>
      </c>
    </row>
    <row r="74" spans="1:6" ht="15" customHeight="1" x14ac:dyDescent="0.2">
      <c r="A74" s="147">
        <v>13</v>
      </c>
      <c r="B74" s="160" t="s">
        <v>209</v>
      </c>
      <c r="C74" s="157">
        <v>104705</v>
      </c>
      <c r="D74" s="157">
        <v>119501</v>
      </c>
      <c r="E74" s="157">
        <f t="shared" si="2"/>
        <v>14796</v>
      </c>
      <c r="F74" s="161">
        <f t="shared" si="3"/>
        <v>0.14131130318513921</v>
      </c>
    </row>
    <row r="75" spans="1:6" ht="15" customHeight="1" x14ac:dyDescent="0.2">
      <c r="A75" s="147">
        <v>14</v>
      </c>
      <c r="B75" s="160" t="s">
        <v>210</v>
      </c>
      <c r="C75" s="157">
        <v>830194</v>
      </c>
      <c r="D75" s="157">
        <v>766199</v>
      </c>
      <c r="E75" s="157">
        <f t="shared" si="2"/>
        <v>-63995</v>
      </c>
      <c r="F75" s="161">
        <f t="shared" si="3"/>
        <v>-7.7084392322758294E-2</v>
      </c>
    </row>
    <row r="76" spans="1:6" ht="15" customHeight="1" x14ac:dyDescent="0.2">
      <c r="A76" s="147">
        <v>15</v>
      </c>
      <c r="B76" s="160" t="s">
        <v>211</v>
      </c>
      <c r="C76" s="157">
        <v>132452</v>
      </c>
      <c r="D76" s="157">
        <v>142824</v>
      </c>
      <c r="E76" s="157">
        <f t="shared" si="2"/>
        <v>10372</v>
      </c>
      <c r="F76" s="161">
        <f t="shared" si="3"/>
        <v>7.8307613324072115E-2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4686168</v>
      </c>
      <c r="E77" s="157">
        <f t="shared" si="2"/>
        <v>4686168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3287089</v>
      </c>
      <c r="D78" s="157">
        <v>3308235</v>
      </c>
      <c r="E78" s="157">
        <f t="shared" si="2"/>
        <v>21146</v>
      </c>
      <c r="F78" s="161">
        <f t="shared" si="3"/>
        <v>6.433047599258797E-3</v>
      </c>
    </row>
    <row r="79" spans="1:6" ht="15" customHeight="1" x14ac:dyDescent="0.2">
      <c r="A79" s="147">
        <v>18</v>
      </c>
      <c r="B79" s="160" t="s">
        <v>214</v>
      </c>
      <c r="C79" s="157">
        <v>604736</v>
      </c>
      <c r="D79" s="157">
        <v>293115</v>
      </c>
      <c r="E79" s="157">
        <f t="shared" si="2"/>
        <v>-311621</v>
      </c>
      <c r="F79" s="161">
        <f t="shared" si="3"/>
        <v>-0.51530089162874382</v>
      </c>
    </row>
    <row r="80" spans="1:6" ht="15" customHeight="1" x14ac:dyDescent="0.2">
      <c r="A80" s="147">
        <v>19</v>
      </c>
      <c r="B80" s="160" t="s">
        <v>215</v>
      </c>
      <c r="C80" s="157">
        <v>1569371</v>
      </c>
      <c r="D80" s="157">
        <v>1417277</v>
      </c>
      <c r="E80" s="157">
        <f t="shared" si="2"/>
        <v>-152094</v>
      </c>
      <c r="F80" s="161">
        <f t="shared" si="3"/>
        <v>-9.691398655894623E-2</v>
      </c>
    </row>
    <row r="81" spans="1:6" ht="15" customHeight="1" x14ac:dyDescent="0.2">
      <c r="A81" s="147">
        <v>20</v>
      </c>
      <c r="B81" s="160" t="s">
        <v>216</v>
      </c>
      <c r="C81" s="157">
        <v>3706753</v>
      </c>
      <c r="D81" s="157">
        <v>3931104</v>
      </c>
      <c r="E81" s="157">
        <f t="shared" si="2"/>
        <v>224351</v>
      </c>
      <c r="F81" s="161">
        <f t="shared" si="3"/>
        <v>6.0524939212297124E-2</v>
      </c>
    </row>
    <row r="82" spans="1:6" ht="15" customHeight="1" x14ac:dyDescent="0.2">
      <c r="A82" s="147">
        <v>21</v>
      </c>
      <c r="B82" s="160" t="s">
        <v>217</v>
      </c>
      <c r="C82" s="157">
        <v>697554</v>
      </c>
      <c r="D82" s="157">
        <v>668991</v>
      </c>
      <c r="E82" s="157">
        <f t="shared" si="2"/>
        <v>-28563</v>
      </c>
      <c r="F82" s="161">
        <f t="shared" si="3"/>
        <v>-4.0947367515633201E-2</v>
      </c>
    </row>
    <row r="83" spans="1:6" ht="15" customHeight="1" x14ac:dyDescent="0.2">
      <c r="A83" s="147">
        <v>22</v>
      </c>
      <c r="B83" s="160" t="s">
        <v>218</v>
      </c>
      <c r="C83" s="157">
        <v>478903</v>
      </c>
      <c r="D83" s="157">
        <v>331873</v>
      </c>
      <c r="E83" s="157">
        <f t="shared" si="2"/>
        <v>-147030</v>
      </c>
      <c r="F83" s="161">
        <f t="shared" si="3"/>
        <v>-0.3070141552673506</v>
      </c>
    </row>
    <row r="84" spans="1:6" ht="15" customHeight="1" x14ac:dyDescent="0.2">
      <c r="A84" s="147">
        <v>23</v>
      </c>
      <c r="B84" s="160" t="s">
        <v>219</v>
      </c>
      <c r="C84" s="157">
        <v>882792</v>
      </c>
      <c r="D84" s="157">
        <v>801288</v>
      </c>
      <c r="E84" s="157">
        <f t="shared" si="2"/>
        <v>-81504</v>
      </c>
      <c r="F84" s="161">
        <f t="shared" si="3"/>
        <v>-9.2325258951145905E-2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267343</v>
      </c>
      <c r="D86" s="157">
        <v>277944</v>
      </c>
      <c r="E86" s="157">
        <f t="shared" si="2"/>
        <v>10601</v>
      </c>
      <c r="F86" s="161">
        <f t="shared" si="3"/>
        <v>3.9653179623180705E-2</v>
      </c>
    </row>
    <row r="87" spans="1:6" ht="15" customHeight="1" x14ac:dyDescent="0.2">
      <c r="A87" s="147">
        <v>26</v>
      </c>
      <c r="B87" s="160" t="s">
        <v>222</v>
      </c>
      <c r="C87" s="157">
        <v>3424962</v>
      </c>
      <c r="D87" s="157">
        <v>3871960</v>
      </c>
      <c r="E87" s="157">
        <f t="shared" si="2"/>
        <v>446998</v>
      </c>
      <c r="F87" s="161">
        <f t="shared" si="3"/>
        <v>0.13051181297777903</v>
      </c>
    </row>
    <row r="88" spans="1:6" ht="15" customHeight="1" x14ac:dyDescent="0.2">
      <c r="A88" s="147">
        <v>27</v>
      </c>
      <c r="B88" s="160" t="s">
        <v>223</v>
      </c>
      <c r="C88" s="157">
        <v>3398853</v>
      </c>
      <c r="D88" s="157">
        <v>4413492</v>
      </c>
      <c r="E88" s="157">
        <f t="shared" si="2"/>
        <v>1014639</v>
      </c>
      <c r="F88" s="161">
        <f t="shared" si="3"/>
        <v>0.29852394322437598</v>
      </c>
    </row>
    <row r="89" spans="1:6" ht="15" customHeight="1" x14ac:dyDescent="0.2">
      <c r="A89" s="147">
        <v>28</v>
      </c>
      <c r="B89" s="160" t="s">
        <v>224</v>
      </c>
      <c r="C89" s="157">
        <v>4837986</v>
      </c>
      <c r="D89" s="157">
        <v>6415639</v>
      </c>
      <c r="E89" s="157">
        <f t="shared" si="2"/>
        <v>1577653</v>
      </c>
      <c r="F89" s="161">
        <f t="shared" si="3"/>
        <v>0.32609705774262265</v>
      </c>
    </row>
    <row r="90" spans="1:6" ht="15.75" customHeight="1" x14ac:dyDescent="0.25">
      <c r="A90" s="147"/>
      <c r="B90" s="162" t="s">
        <v>225</v>
      </c>
      <c r="C90" s="158">
        <f>SUM(C62:C89)</f>
        <v>34805188</v>
      </c>
      <c r="D90" s="158">
        <f>SUM(D62:D89)</f>
        <v>40557273</v>
      </c>
      <c r="E90" s="158">
        <f t="shared" si="2"/>
        <v>5752085</v>
      </c>
      <c r="F90" s="159">
        <f t="shared" si="3"/>
        <v>0.16526516104438224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249935251</v>
      </c>
      <c r="D95" s="158">
        <f>+D93+D90+D59+D50+D47+D44+D41+D35+D30+D24+D18</f>
        <v>252028161</v>
      </c>
      <c r="E95" s="158">
        <f>+D95-C95</f>
        <v>2092910</v>
      </c>
      <c r="F95" s="159">
        <f>IF(C95=0,0,E95/C95)</f>
        <v>8.3738087829795561E-3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36747589</v>
      </c>
      <c r="D103" s="157">
        <v>39256951</v>
      </c>
      <c r="E103" s="157">
        <f t="shared" ref="E103:E121" si="4">D103-C103</f>
        <v>2509362</v>
      </c>
      <c r="F103" s="161">
        <f t="shared" ref="F103:F121" si="5">IF(C103=0,0,E103/C103)</f>
        <v>6.8286439145708311E-2</v>
      </c>
    </row>
    <row r="104" spans="1:6" ht="15" customHeight="1" x14ac:dyDescent="0.2">
      <c r="A104" s="147">
        <v>2</v>
      </c>
      <c r="B104" s="169" t="s">
        <v>234</v>
      </c>
      <c r="C104" s="157">
        <v>1460299</v>
      </c>
      <c r="D104" s="157">
        <v>1743743</v>
      </c>
      <c r="E104" s="157">
        <f t="shared" si="4"/>
        <v>283444</v>
      </c>
      <c r="F104" s="161">
        <f t="shared" si="5"/>
        <v>0.19409997541599358</v>
      </c>
    </row>
    <row r="105" spans="1:6" ht="15" customHeight="1" x14ac:dyDescent="0.2">
      <c r="A105" s="147">
        <v>3</v>
      </c>
      <c r="B105" s="169" t="s">
        <v>235</v>
      </c>
      <c r="C105" s="157">
        <v>2771171</v>
      </c>
      <c r="D105" s="157">
        <v>2546899</v>
      </c>
      <c r="E105" s="157">
        <f t="shared" si="4"/>
        <v>-224272</v>
      </c>
      <c r="F105" s="161">
        <f t="shared" si="5"/>
        <v>-8.0930408119888664E-2</v>
      </c>
    </row>
    <row r="106" spans="1:6" ht="15" customHeight="1" x14ac:dyDescent="0.2">
      <c r="A106" s="147">
        <v>4</v>
      </c>
      <c r="B106" s="169" t="s">
        <v>236</v>
      </c>
      <c r="C106" s="157">
        <v>3125739</v>
      </c>
      <c r="D106" s="157">
        <v>3019025</v>
      </c>
      <c r="E106" s="157">
        <f t="shared" si="4"/>
        <v>-106714</v>
      </c>
      <c r="F106" s="161">
        <f t="shared" si="5"/>
        <v>-3.4140406476676398E-2</v>
      </c>
    </row>
    <row r="107" spans="1:6" ht="15" customHeight="1" x14ac:dyDescent="0.2">
      <c r="A107" s="147">
        <v>5</v>
      </c>
      <c r="B107" s="169" t="s">
        <v>237</v>
      </c>
      <c r="C107" s="157">
        <v>9350829</v>
      </c>
      <c r="D107" s="157">
        <v>9395651</v>
      </c>
      <c r="E107" s="157">
        <f t="shared" si="4"/>
        <v>44822</v>
      </c>
      <c r="F107" s="161">
        <f t="shared" si="5"/>
        <v>4.7933717962332541E-3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31121755</v>
      </c>
      <c r="D109" s="157">
        <v>24339808</v>
      </c>
      <c r="E109" s="157">
        <f t="shared" si="4"/>
        <v>-6781947</v>
      </c>
      <c r="F109" s="161">
        <f t="shared" si="5"/>
        <v>-0.2179165988550453</v>
      </c>
    </row>
    <row r="110" spans="1:6" ht="15" customHeight="1" x14ac:dyDescent="0.2">
      <c r="A110" s="147">
        <v>8</v>
      </c>
      <c r="B110" s="169" t="s">
        <v>240</v>
      </c>
      <c r="C110" s="157">
        <v>1566177</v>
      </c>
      <c r="D110" s="157">
        <v>1357704</v>
      </c>
      <c r="E110" s="157">
        <f t="shared" si="4"/>
        <v>-208473</v>
      </c>
      <c r="F110" s="161">
        <f t="shared" si="5"/>
        <v>-0.13310947613200808</v>
      </c>
    </row>
    <row r="111" spans="1:6" ht="15" customHeight="1" x14ac:dyDescent="0.2">
      <c r="A111" s="147">
        <v>9</v>
      </c>
      <c r="B111" s="169" t="s">
        <v>241</v>
      </c>
      <c r="C111" s="157">
        <v>1139784</v>
      </c>
      <c r="D111" s="157">
        <v>1152928</v>
      </c>
      <c r="E111" s="157">
        <f t="shared" si="4"/>
        <v>13144</v>
      </c>
      <c r="F111" s="161">
        <f t="shared" si="5"/>
        <v>1.1532009573743797E-2</v>
      </c>
    </row>
    <row r="112" spans="1:6" ht="15" customHeight="1" x14ac:dyDescent="0.2">
      <c r="A112" s="147">
        <v>10</v>
      </c>
      <c r="B112" s="169" t="s">
        <v>242</v>
      </c>
      <c r="C112" s="157">
        <v>3463991</v>
      </c>
      <c r="D112" s="157">
        <v>3429506</v>
      </c>
      <c r="E112" s="157">
        <f t="shared" si="4"/>
        <v>-34485</v>
      </c>
      <c r="F112" s="161">
        <f t="shared" si="5"/>
        <v>-9.9552799069050693E-3</v>
      </c>
    </row>
    <row r="113" spans="1:6" ht="15" customHeight="1" x14ac:dyDescent="0.2">
      <c r="A113" s="147">
        <v>11</v>
      </c>
      <c r="B113" s="169" t="s">
        <v>243</v>
      </c>
      <c r="C113" s="157">
        <v>2980605</v>
      </c>
      <c r="D113" s="157">
        <v>2908124</v>
      </c>
      <c r="E113" s="157">
        <f t="shared" si="4"/>
        <v>-72481</v>
      </c>
      <c r="F113" s="161">
        <f t="shared" si="5"/>
        <v>-2.4317546269968682E-2</v>
      </c>
    </row>
    <row r="114" spans="1:6" ht="15" customHeight="1" x14ac:dyDescent="0.2">
      <c r="A114" s="147">
        <v>12</v>
      </c>
      <c r="B114" s="169" t="s">
        <v>244</v>
      </c>
      <c r="C114" s="157">
        <v>187667</v>
      </c>
      <c r="D114" s="157">
        <v>347665</v>
      </c>
      <c r="E114" s="157">
        <f t="shared" si="4"/>
        <v>159998</v>
      </c>
      <c r="F114" s="161">
        <f t="shared" si="5"/>
        <v>0.8525633169390463</v>
      </c>
    </row>
    <row r="115" spans="1:6" ht="15" customHeight="1" x14ac:dyDescent="0.2">
      <c r="A115" s="147">
        <v>13</v>
      </c>
      <c r="B115" s="169" t="s">
        <v>245</v>
      </c>
      <c r="C115" s="157">
        <v>4093277</v>
      </c>
      <c r="D115" s="157">
        <v>4179945</v>
      </c>
      <c r="E115" s="157">
        <f t="shared" si="4"/>
        <v>86668</v>
      </c>
      <c r="F115" s="161">
        <f t="shared" si="5"/>
        <v>2.1173255560276032E-2</v>
      </c>
    </row>
    <row r="116" spans="1:6" ht="15" customHeight="1" x14ac:dyDescent="0.2">
      <c r="A116" s="147">
        <v>14</v>
      </c>
      <c r="B116" s="169" t="s">
        <v>246</v>
      </c>
      <c r="C116" s="157">
        <v>1727993</v>
      </c>
      <c r="D116" s="157">
        <v>1749286</v>
      </c>
      <c r="E116" s="157">
        <f t="shared" si="4"/>
        <v>21293</v>
      </c>
      <c r="F116" s="161">
        <f t="shared" si="5"/>
        <v>1.2322387880043495E-2</v>
      </c>
    </row>
    <row r="117" spans="1:6" ht="15" customHeight="1" x14ac:dyDescent="0.2">
      <c r="A117" s="147">
        <v>15</v>
      </c>
      <c r="B117" s="169" t="s">
        <v>203</v>
      </c>
      <c r="C117" s="157">
        <v>2107670</v>
      </c>
      <c r="D117" s="157">
        <v>2482511</v>
      </c>
      <c r="E117" s="157">
        <f t="shared" si="4"/>
        <v>374841</v>
      </c>
      <c r="F117" s="161">
        <f t="shared" si="5"/>
        <v>0.17784615238628437</v>
      </c>
    </row>
    <row r="118" spans="1:6" ht="15" customHeight="1" x14ac:dyDescent="0.2">
      <c r="A118" s="147">
        <v>16</v>
      </c>
      <c r="B118" s="169" t="s">
        <v>247</v>
      </c>
      <c r="C118" s="157">
        <v>1470992</v>
      </c>
      <c r="D118" s="157">
        <v>1479453</v>
      </c>
      <c r="E118" s="157">
        <f t="shared" si="4"/>
        <v>8461</v>
      </c>
      <c r="F118" s="161">
        <f t="shared" si="5"/>
        <v>5.7519007581278486E-3</v>
      </c>
    </row>
    <row r="119" spans="1:6" ht="15" customHeight="1" x14ac:dyDescent="0.2">
      <c r="A119" s="147">
        <v>17</v>
      </c>
      <c r="B119" s="169" t="s">
        <v>248</v>
      </c>
      <c r="C119" s="157">
        <v>15219117</v>
      </c>
      <c r="D119" s="157">
        <v>17611720</v>
      </c>
      <c r="E119" s="157">
        <f t="shared" si="4"/>
        <v>2392603</v>
      </c>
      <c r="F119" s="161">
        <f t="shared" si="5"/>
        <v>0.15721036903783578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118534655</v>
      </c>
      <c r="D121" s="158">
        <f>SUM(D103:D120)</f>
        <v>117000919</v>
      </c>
      <c r="E121" s="158">
        <f t="shared" si="4"/>
        <v>-1533736</v>
      </c>
      <c r="F121" s="159">
        <f t="shared" si="5"/>
        <v>-1.2939135816441192E-2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726190</v>
      </c>
      <c r="D124" s="157">
        <v>869230</v>
      </c>
      <c r="E124" s="157">
        <f t="shared" ref="E124:E130" si="6">D124-C124</f>
        <v>143040</v>
      </c>
      <c r="F124" s="161">
        <f t="shared" ref="F124:F130" si="7">IF(C124=0,0,E124/C124)</f>
        <v>0.19697324391688126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2373953</v>
      </c>
      <c r="D126" s="157">
        <v>2764651</v>
      </c>
      <c r="E126" s="157">
        <f t="shared" si="6"/>
        <v>390698</v>
      </c>
      <c r="F126" s="161">
        <f t="shared" si="7"/>
        <v>0.16457697351211251</v>
      </c>
    </row>
    <row r="127" spans="1:6" ht="15" customHeight="1" x14ac:dyDescent="0.2">
      <c r="A127" s="147">
        <v>4</v>
      </c>
      <c r="B127" s="169" t="s">
        <v>255</v>
      </c>
      <c r="C127" s="157">
        <v>2741286</v>
      </c>
      <c r="D127" s="157">
        <v>3310147</v>
      </c>
      <c r="E127" s="157">
        <f t="shared" si="6"/>
        <v>568861</v>
      </c>
      <c r="F127" s="161">
        <f t="shared" si="7"/>
        <v>0.20751610740360546</v>
      </c>
    </row>
    <row r="128" spans="1:6" ht="15" customHeight="1" x14ac:dyDescent="0.2">
      <c r="A128" s="147">
        <v>5</v>
      </c>
      <c r="B128" s="169" t="s">
        <v>256</v>
      </c>
      <c r="C128" s="157">
        <v>2279452</v>
      </c>
      <c r="D128" s="157">
        <v>1939255</v>
      </c>
      <c r="E128" s="157">
        <f t="shared" si="6"/>
        <v>-340197</v>
      </c>
      <c r="F128" s="161">
        <f t="shared" si="7"/>
        <v>-0.14924508171262216</v>
      </c>
    </row>
    <row r="129" spans="1:6" ht="15" customHeight="1" x14ac:dyDescent="0.2">
      <c r="A129" s="147">
        <v>6</v>
      </c>
      <c r="B129" s="169" t="s">
        <v>257</v>
      </c>
      <c r="C129" s="157">
        <v>1595676</v>
      </c>
      <c r="D129" s="157">
        <v>1482832</v>
      </c>
      <c r="E129" s="157">
        <f t="shared" si="6"/>
        <v>-112844</v>
      </c>
      <c r="F129" s="161">
        <f t="shared" si="7"/>
        <v>-7.0718617062611705E-2</v>
      </c>
    </row>
    <row r="130" spans="1:6" ht="15.75" customHeight="1" x14ac:dyDescent="0.25">
      <c r="A130" s="147"/>
      <c r="B130" s="165" t="s">
        <v>258</v>
      </c>
      <c r="C130" s="158">
        <f>SUM(C124:C129)</f>
        <v>9716557</v>
      </c>
      <c r="D130" s="158">
        <f>SUM(D124:D129)</f>
        <v>10366115</v>
      </c>
      <c r="E130" s="158">
        <f t="shared" si="6"/>
        <v>649558</v>
      </c>
      <c r="F130" s="159">
        <f t="shared" si="7"/>
        <v>6.6850634437692277E-2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8950548</v>
      </c>
      <c r="D133" s="157">
        <v>8853565</v>
      </c>
      <c r="E133" s="157">
        <f t="shared" ref="E133:E167" si="8">D133-C133</f>
        <v>-96983</v>
      </c>
      <c r="F133" s="161">
        <f t="shared" ref="F133:F167" si="9">IF(C133=0,0,E133/C133)</f>
        <v>-1.0835425942635021E-2</v>
      </c>
    </row>
    <row r="134" spans="1:6" ht="15" customHeight="1" x14ac:dyDescent="0.2">
      <c r="A134" s="147">
        <v>2</v>
      </c>
      <c r="B134" s="169" t="s">
        <v>261</v>
      </c>
      <c r="C134" s="157">
        <v>1727697</v>
      </c>
      <c r="D134" s="157">
        <v>1694220</v>
      </c>
      <c r="E134" s="157">
        <f t="shared" si="8"/>
        <v>-33477</v>
      </c>
      <c r="F134" s="161">
        <f t="shared" si="9"/>
        <v>-1.9376661532664582E-2</v>
      </c>
    </row>
    <row r="135" spans="1:6" ht="15" customHeight="1" x14ac:dyDescent="0.2">
      <c r="A135" s="147">
        <v>3</v>
      </c>
      <c r="B135" s="169" t="s">
        <v>262</v>
      </c>
      <c r="C135" s="157">
        <v>1015496</v>
      </c>
      <c r="D135" s="157">
        <v>1198523</v>
      </c>
      <c r="E135" s="157">
        <f t="shared" si="8"/>
        <v>183027</v>
      </c>
      <c r="F135" s="161">
        <f t="shared" si="9"/>
        <v>0.18023409250258002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6690059</v>
      </c>
      <c r="D137" s="157">
        <v>6561650</v>
      </c>
      <c r="E137" s="157">
        <f t="shared" si="8"/>
        <v>-128409</v>
      </c>
      <c r="F137" s="161">
        <f t="shared" si="9"/>
        <v>-1.9194001129138025E-2</v>
      </c>
    </row>
    <row r="138" spans="1:6" ht="15" customHeight="1" x14ac:dyDescent="0.2">
      <c r="A138" s="147">
        <v>6</v>
      </c>
      <c r="B138" s="169" t="s">
        <v>265</v>
      </c>
      <c r="C138" s="157">
        <v>1596362</v>
      </c>
      <c r="D138" s="157">
        <v>1797698</v>
      </c>
      <c r="E138" s="157">
        <f t="shared" si="8"/>
        <v>201336</v>
      </c>
      <c r="F138" s="161">
        <f t="shared" si="9"/>
        <v>0.12612176937311212</v>
      </c>
    </row>
    <row r="139" spans="1:6" ht="15" customHeight="1" x14ac:dyDescent="0.2">
      <c r="A139" s="147">
        <v>7</v>
      </c>
      <c r="B139" s="169" t="s">
        <v>266</v>
      </c>
      <c r="C139" s="157">
        <v>3204397</v>
      </c>
      <c r="D139" s="157">
        <v>3116039</v>
      </c>
      <c r="E139" s="157">
        <f t="shared" si="8"/>
        <v>-88358</v>
      </c>
      <c r="F139" s="161">
        <f t="shared" si="9"/>
        <v>-2.7573986619011316E-2</v>
      </c>
    </row>
    <row r="140" spans="1:6" ht="15" customHeight="1" x14ac:dyDescent="0.2">
      <c r="A140" s="147">
        <v>8</v>
      </c>
      <c r="B140" s="169" t="s">
        <v>267</v>
      </c>
      <c r="C140" s="157">
        <v>983993</v>
      </c>
      <c r="D140" s="157">
        <v>905910</v>
      </c>
      <c r="E140" s="157">
        <f t="shared" si="8"/>
        <v>-78083</v>
      </c>
      <c r="F140" s="161">
        <f t="shared" si="9"/>
        <v>-7.9353206780942542E-2</v>
      </c>
    </row>
    <row r="141" spans="1:6" ht="15" customHeight="1" x14ac:dyDescent="0.2">
      <c r="A141" s="147">
        <v>9</v>
      </c>
      <c r="B141" s="169" t="s">
        <v>268</v>
      </c>
      <c r="C141" s="157">
        <v>2293465</v>
      </c>
      <c r="D141" s="157">
        <v>2299870</v>
      </c>
      <c r="E141" s="157">
        <f t="shared" si="8"/>
        <v>6405</v>
      </c>
      <c r="F141" s="161">
        <f t="shared" si="9"/>
        <v>2.7927175692674623E-3</v>
      </c>
    </row>
    <row r="142" spans="1:6" ht="15" customHeight="1" x14ac:dyDescent="0.2">
      <c r="A142" s="147">
        <v>10</v>
      </c>
      <c r="B142" s="169" t="s">
        <v>269</v>
      </c>
      <c r="C142" s="157">
        <v>11421907</v>
      </c>
      <c r="D142" s="157">
        <v>11442693</v>
      </c>
      <c r="E142" s="157">
        <f t="shared" si="8"/>
        <v>20786</v>
      </c>
      <c r="F142" s="161">
        <f t="shared" si="9"/>
        <v>1.8198362147406734E-3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1197225</v>
      </c>
      <c r="D144" s="157">
        <v>1218205</v>
      </c>
      <c r="E144" s="157">
        <f t="shared" si="8"/>
        <v>20980</v>
      </c>
      <c r="F144" s="161">
        <f t="shared" si="9"/>
        <v>1.7523857253231433E-2</v>
      </c>
    </row>
    <row r="145" spans="1:6" ht="15" customHeight="1" x14ac:dyDescent="0.2">
      <c r="A145" s="147">
        <v>13</v>
      </c>
      <c r="B145" s="169" t="s">
        <v>272</v>
      </c>
      <c r="C145" s="157">
        <v>223132</v>
      </c>
      <c r="D145" s="157">
        <v>197274</v>
      </c>
      <c r="E145" s="157">
        <f t="shared" si="8"/>
        <v>-25858</v>
      </c>
      <c r="F145" s="161">
        <f t="shared" si="9"/>
        <v>-0.11588656042163382</v>
      </c>
    </row>
    <row r="146" spans="1:6" ht="15" customHeight="1" x14ac:dyDescent="0.2">
      <c r="A146" s="147">
        <v>14</v>
      </c>
      <c r="B146" s="169" t="s">
        <v>273</v>
      </c>
      <c r="C146" s="157">
        <v>155028</v>
      </c>
      <c r="D146" s="157">
        <v>151705</v>
      </c>
      <c r="E146" s="157">
        <f t="shared" si="8"/>
        <v>-3323</v>
      </c>
      <c r="F146" s="161">
        <f t="shared" si="9"/>
        <v>-2.1434837577727895E-2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1811273</v>
      </c>
      <c r="D150" s="157">
        <v>1923887</v>
      </c>
      <c r="E150" s="157">
        <f t="shared" si="8"/>
        <v>112614</v>
      </c>
      <c r="F150" s="161">
        <f t="shared" si="9"/>
        <v>6.2173951690330499E-2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1106150</v>
      </c>
      <c r="D152" s="157">
        <v>1142998</v>
      </c>
      <c r="E152" s="157">
        <f t="shared" si="8"/>
        <v>36848</v>
      </c>
      <c r="F152" s="161">
        <f t="shared" si="9"/>
        <v>3.3311937802287216E-2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1597463</v>
      </c>
      <c r="D154" s="157">
        <v>1730453</v>
      </c>
      <c r="E154" s="157">
        <f t="shared" si="8"/>
        <v>132990</v>
      </c>
      <c r="F154" s="161">
        <f t="shared" si="9"/>
        <v>8.3250754477568495E-2</v>
      </c>
    </row>
    <row r="155" spans="1:6" ht="15" customHeight="1" x14ac:dyDescent="0.2">
      <c r="A155" s="147">
        <v>23</v>
      </c>
      <c r="B155" s="169" t="s">
        <v>282</v>
      </c>
      <c r="C155" s="157">
        <v>568985</v>
      </c>
      <c r="D155" s="157">
        <v>586857</v>
      </c>
      <c r="E155" s="157">
        <f t="shared" si="8"/>
        <v>17872</v>
      </c>
      <c r="F155" s="161">
        <f t="shared" si="9"/>
        <v>3.1410318373946589E-2</v>
      </c>
    </row>
    <row r="156" spans="1:6" ht="15" customHeight="1" x14ac:dyDescent="0.2">
      <c r="A156" s="147">
        <v>24</v>
      </c>
      <c r="B156" s="169" t="s">
        <v>283</v>
      </c>
      <c r="C156" s="157">
        <v>19203155</v>
      </c>
      <c r="D156" s="157">
        <v>18808301</v>
      </c>
      <c r="E156" s="157">
        <f t="shared" si="8"/>
        <v>-394854</v>
      </c>
      <c r="F156" s="161">
        <f t="shared" si="9"/>
        <v>-2.0561933703081604E-2</v>
      </c>
    </row>
    <row r="157" spans="1:6" ht="15" customHeight="1" x14ac:dyDescent="0.2">
      <c r="A157" s="147">
        <v>25</v>
      </c>
      <c r="B157" s="169" t="s">
        <v>284</v>
      </c>
      <c r="C157" s="157">
        <v>2794127</v>
      </c>
      <c r="D157" s="157">
        <v>2979022</v>
      </c>
      <c r="E157" s="157">
        <f t="shared" si="8"/>
        <v>184895</v>
      </c>
      <c r="F157" s="161">
        <f t="shared" si="9"/>
        <v>6.6172725863928167E-2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542272</v>
      </c>
      <c r="D159" s="157">
        <v>607216</v>
      </c>
      <c r="E159" s="157">
        <f t="shared" si="8"/>
        <v>64944</v>
      </c>
      <c r="F159" s="161">
        <f t="shared" si="9"/>
        <v>0.119762775876313</v>
      </c>
    </row>
    <row r="160" spans="1:6" ht="15" customHeight="1" x14ac:dyDescent="0.2">
      <c r="A160" s="147">
        <v>28</v>
      </c>
      <c r="B160" s="169" t="s">
        <v>287</v>
      </c>
      <c r="C160" s="157">
        <v>1263764</v>
      </c>
      <c r="D160" s="157">
        <v>1152179</v>
      </c>
      <c r="E160" s="157">
        <f t="shared" si="8"/>
        <v>-111585</v>
      </c>
      <c r="F160" s="161">
        <f t="shared" si="9"/>
        <v>-8.8295757752238552E-2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233300</v>
      </c>
      <c r="D162" s="157">
        <v>235500</v>
      </c>
      <c r="E162" s="157">
        <f t="shared" si="8"/>
        <v>2200</v>
      </c>
      <c r="F162" s="161">
        <f t="shared" si="9"/>
        <v>9.4299185597942568E-3</v>
      </c>
    </row>
    <row r="163" spans="1:6" ht="15" customHeight="1" x14ac:dyDescent="0.2">
      <c r="A163" s="147">
        <v>31</v>
      </c>
      <c r="B163" s="169" t="s">
        <v>290</v>
      </c>
      <c r="C163" s="157">
        <v>1531964</v>
      </c>
      <c r="D163" s="157">
        <v>1438100</v>
      </c>
      <c r="E163" s="157">
        <f t="shared" si="8"/>
        <v>-93864</v>
      </c>
      <c r="F163" s="161">
        <f t="shared" si="9"/>
        <v>-6.1270369277607047E-2</v>
      </c>
    </row>
    <row r="164" spans="1:6" ht="15" customHeight="1" x14ac:dyDescent="0.2">
      <c r="A164" s="147">
        <v>32</v>
      </c>
      <c r="B164" s="169" t="s">
        <v>291</v>
      </c>
      <c r="C164" s="157">
        <v>2241005</v>
      </c>
      <c r="D164" s="157">
        <v>2253135</v>
      </c>
      <c r="E164" s="157">
        <f t="shared" si="8"/>
        <v>12130</v>
      </c>
      <c r="F164" s="161">
        <f t="shared" si="9"/>
        <v>5.4127500831100336E-3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12936474</v>
      </c>
      <c r="D166" s="157">
        <v>13235896</v>
      </c>
      <c r="E166" s="157">
        <f t="shared" si="8"/>
        <v>299422</v>
      </c>
      <c r="F166" s="161">
        <f t="shared" si="9"/>
        <v>2.3145565012537419E-2</v>
      </c>
    </row>
    <row r="167" spans="1:6" ht="15.75" customHeight="1" x14ac:dyDescent="0.25">
      <c r="A167" s="147"/>
      <c r="B167" s="165" t="s">
        <v>294</v>
      </c>
      <c r="C167" s="158">
        <f>SUM(C133:C166)</f>
        <v>85289241</v>
      </c>
      <c r="D167" s="158">
        <f>SUM(D133:D166)</f>
        <v>85530896</v>
      </c>
      <c r="E167" s="158">
        <f t="shared" si="8"/>
        <v>241655</v>
      </c>
      <c r="F167" s="159">
        <f t="shared" si="9"/>
        <v>2.833358547533563E-3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23354818</v>
      </c>
      <c r="D170" s="157">
        <v>25033521</v>
      </c>
      <c r="E170" s="157">
        <f t="shared" ref="E170:E183" si="10">D170-C170</f>
        <v>1678703</v>
      </c>
      <c r="F170" s="161">
        <f t="shared" ref="F170:F183" si="11">IF(C170=0,0,E170/C170)</f>
        <v>7.1878230864398082E-2</v>
      </c>
    </row>
    <row r="171" spans="1:6" ht="15" customHeight="1" x14ac:dyDescent="0.2">
      <c r="A171" s="147">
        <v>2</v>
      </c>
      <c r="B171" s="169" t="s">
        <v>297</v>
      </c>
      <c r="C171" s="157">
        <v>3046602</v>
      </c>
      <c r="D171" s="157">
        <v>3187365</v>
      </c>
      <c r="E171" s="157">
        <f t="shared" si="10"/>
        <v>140763</v>
      </c>
      <c r="F171" s="161">
        <f t="shared" si="11"/>
        <v>4.6203278275271924E-2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2147653</v>
      </c>
      <c r="D173" s="157">
        <v>2218453</v>
      </c>
      <c r="E173" s="157">
        <f t="shared" si="10"/>
        <v>70800</v>
      </c>
      <c r="F173" s="161">
        <f t="shared" si="11"/>
        <v>3.2966219403227616E-2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4112313</v>
      </c>
      <c r="D175" s="157">
        <v>4554793</v>
      </c>
      <c r="E175" s="157">
        <f t="shared" si="10"/>
        <v>442480</v>
      </c>
      <c r="F175" s="161">
        <f t="shared" si="11"/>
        <v>0.10759881361170709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3202024</v>
      </c>
      <c r="D181" s="157">
        <v>3544954</v>
      </c>
      <c r="E181" s="157">
        <f t="shared" si="10"/>
        <v>342930</v>
      </c>
      <c r="F181" s="161">
        <f t="shared" si="11"/>
        <v>0.10709788558736599</v>
      </c>
    </row>
    <row r="182" spans="1:6" ht="15" customHeight="1" x14ac:dyDescent="0.2">
      <c r="A182" s="147">
        <v>13</v>
      </c>
      <c r="B182" s="169" t="s">
        <v>308</v>
      </c>
      <c r="C182" s="157">
        <v>531388</v>
      </c>
      <c r="D182" s="157">
        <v>591145</v>
      </c>
      <c r="E182" s="157">
        <f t="shared" si="10"/>
        <v>59757</v>
      </c>
      <c r="F182" s="161">
        <f t="shared" si="11"/>
        <v>0.11245455298200185</v>
      </c>
    </row>
    <row r="183" spans="1:6" ht="15.75" customHeight="1" x14ac:dyDescent="0.25">
      <c r="A183" s="147"/>
      <c r="B183" s="165" t="s">
        <v>309</v>
      </c>
      <c r="C183" s="158">
        <f>SUM(C170:C182)</f>
        <v>36394798</v>
      </c>
      <c r="D183" s="158">
        <f>SUM(D170:D182)</f>
        <v>39130231</v>
      </c>
      <c r="E183" s="158">
        <f t="shared" si="10"/>
        <v>2735433</v>
      </c>
      <c r="F183" s="159">
        <f t="shared" si="11"/>
        <v>7.5159999514216286E-2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249935251</v>
      </c>
      <c r="D188" s="158">
        <f>+D186+D183+D167+D130+D121</f>
        <v>252028161</v>
      </c>
      <c r="E188" s="158">
        <f>D188-C188</f>
        <v>2092910</v>
      </c>
      <c r="F188" s="159">
        <f>IF(C188=0,0,E188/C188)</f>
        <v>8.3738087829795561E-3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FILING&amp;RWILLIAM W. BACKUS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283219755</v>
      </c>
      <c r="D11" s="183">
        <v>268008827</v>
      </c>
      <c r="E11" s="76">
        <v>293617939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7456692</v>
      </c>
      <c r="D12" s="185">
        <v>7202302</v>
      </c>
      <c r="E12" s="185">
        <v>7047673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290676447</v>
      </c>
      <c r="D13" s="76">
        <f>+D11+D12</f>
        <v>275211129</v>
      </c>
      <c r="E13" s="76">
        <f>+E11+E12</f>
        <v>300665612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264111731</v>
      </c>
      <c r="D14" s="185">
        <v>249935251</v>
      </c>
      <c r="E14" s="185">
        <v>252028161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26564716</v>
      </c>
      <c r="D15" s="76">
        <f>+D13-D14</f>
        <v>25275878</v>
      </c>
      <c r="E15" s="76">
        <f>+E13-E14</f>
        <v>48637451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12819113</v>
      </c>
      <c r="D16" s="185">
        <v>10257621</v>
      </c>
      <c r="E16" s="185">
        <v>9066264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39383829</v>
      </c>
      <c r="D17" s="76">
        <f>D15+D16</f>
        <v>35533499</v>
      </c>
      <c r="E17" s="76">
        <f>E15+E16</f>
        <v>57703715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8.7529175056135916E-2</v>
      </c>
      <c r="D20" s="189">
        <f>IF(+D27=0,0,+D24/+D27)</f>
        <v>8.8541663492063494E-2</v>
      </c>
      <c r="E20" s="189">
        <f>IF(+E27=0,0,+E24/+E27)</f>
        <v>0.15703082171626404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4.2238222529515757E-2</v>
      </c>
      <c r="D21" s="189">
        <f>IF(D27=0,0,+D26/D27)</f>
        <v>3.593255303776683E-2</v>
      </c>
      <c r="E21" s="189">
        <f>IF(E27=0,0,+E26/E27)</f>
        <v>2.9271330148789722E-2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0.12976739758565167</v>
      </c>
      <c r="D22" s="189">
        <f>IF(D27=0,0,+D28/D27)</f>
        <v>0.12447421652983032</v>
      </c>
      <c r="E22" s="189">
        <f>IF(E27=0,0,+E28/E27)</f>
        <v>0.18630215186505375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26564716</v>
      </c>
      <c r="D24" s="76">
        <f>+D15</f>
        <v>25275878</v>
      </c>
      <c r="E24" s="76">
        <f>+E15</f>
        <v>48637451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290676447</v>
      </c>
      <c r="D25" s="76">
        <f>+D13</f>
        <v>275211129</v>
      </c>
      <c r="E25" s="76">
        <f>+E13</f>
        <v>300665612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12819113</v>
      </c>
      <c r="D26" s="76">
        <f>+D16</f>
        <v>10257621</v>
      </c>
      <c r="E26" s="76">
        <f>+E16</f>
        <v>9066264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303495560</v>
      </c>
      <c r="D27" s="76">
        <f>+D25+D26</f>
        <v>285468750</v>
      </c>
      <c r="E27" s="76">
        <f>+E25+E26</f>
        <v>309731876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39383829</v>
      </c>
      <c r="D28" s="76">
        <f>+D17</f>
        <v>35533499</v>
      </c>
      <c r="E28" s="76">
        <f>+E17</f>
        <v>57703715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187197385</v>
      </c>
      <c r="D31" s="76">
        <v>314099880</v>
      </c>
      <c r="E31" s="76">
        <v>342576048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197844044</v>
      </c>
      <c r="D32" s="76">
        <v>325472938</v>
      </c>
      <c r="E32" s="76">
        <v>354463494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35668011</v>
      </c>
      <c r="D33" s="76">
        <f>+D32-C32</f>
        <v>127628894</v>
      </c>
      <c r="E33" s="76">
        <f>+E32-D32</f>
        <v>28990556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1.2199</v>
      </c>
      <c r="D34" s="193">
        <f>IF(C32=0,0,+D33/C32)</f>
        <v>0.6450984897983586</v>
      </c>
      <c r="E34" s="193">
        <f>IF(D32=0,0,+E33/D32)</f>
        <v>8.9072093606750183E-2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0.42394818668311085</v>
      </c>
      <c r="D38" s="195">
        <f>IF((D40+D41)=0,0,+D39/(D40+D41))</f>
        <v>0.38005472235085169</v>
      </c>
      <c r="E38" s="195">
        <f>IF((E40+E41)=0,0,+E39/(E40+E41))</f>
        <v>0.35559386651342284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264111731</v>
      </c>
      <c r="D39" s="76">
        <v>249935251</v>
      </c>
      <c r="E39" s="196">
        <v>252028161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615524463</v>
      </c>
      <c r="D40" s="76">
        <v>650427340</v>
      </c>
      <c r="E40" s="196">
        <v>701705462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7456692</v>
      </c>
      <c r="D41" s="76">
        <v>7202302</v>
      </c>
      <c r="E41" s="196">
        <v>7047373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1.5286748825550962</v>
      </c>
      <c r="D43" s="197">
        <f>IF(D38=0,0,IF((D46-D47)=0,0,((+D44-D45)/(D46-D47)/D38)))</f>
        <v>1.6817164086435974</v>
      </c>
      <c r="E43" s="197">
        <f>IF(E38=0,0,IF((E46-E47)=0,0,((+E44-E45)/(E46-E47)/E38)))</f>
        <v>1.8116617219424958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155406762</v>
      </c>
      <c r="D44" s="76">
        <v>154135954</v>
      </c>
      <c r="E44" s="196">
        <v>158851096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2681150</v>
      </c>
      <c r="D45" s="76">
        <v>2385465</v>
      </c>
      <c r="E45" s="196">
        <v>2184757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248782024</v>
      </c>
      <c r="D46" s="76">
        <v>251905183</v>
      </c>
      <c r="E46" s="196">
        <v>256207079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13123061</v>
      </c>
      <c r="D47" s="76">
        <v>14477582</v>
      </c>
      <c r="E47" s="76">
        <v>13017856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0.87919307954711978</v>
      </c>
      <c r="D49" s="198">
        <f>IF(D38=0,0,IF(D51=0,0,(D50/D51)/D38))</f>
        <v>0.86049073434264489</v>
      </c>
      <c r="E49" s="198">
        <f>IF(E38=0,0,IF(E51=0,0,(E50/E51)/E38))</f>
        <v>0.96674327854721287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91857700</v>
      </c>
      <c r="D50" s="199">
        <v>86019959</v>
      </c>
      <c r="E50" s="199">
        <v>99158218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246444156</v>
      </c>
      <c r="D51" s="199">
        <v>263030978</v>
      </c>
      <c r="E51" s="199">
        <v>288445183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0.57174865492770977</v>
      </c>
      <c r="D53" s="198">
        <f>IF(D38=0,0,IF(D55=0,0,(D54/D55)/D38))</f>
        <v>0.66795669703978289</v>
      </c>
      <c r="E53" s="198">
        <f>IF(E38=0,0,IF(E55=0,0,(E54/E55)/E38))</f>
        <v>0.70201927064326652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26068440</v>
      </c>
      <c r="D54" s="199">
        <v>31231570</v>
      </c>
      <c r="E54" s="199">
        <v>35424169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107546705</v>
      </c>
      <c r="D55" s="199">
        <v>123026700</v>
      </c>
      <c r="E55" s="199">
        <v>141904568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5694063.3574755825</v>
      </c>
      <c r="D57" s="88">
        <f>+D60*D38</f>
        <v>5450355.6519202273</v>
      </c>
      <c r="E57" s="88">
        <f>+E60*E38</f>
        <v>4708339.0890719993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5341790</v>
      </c>
      <c r="D58" s="199">
        <v>5518573</v>
      </c>
      <c r="E58" s="199">
        <v>5111796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8089246</v>
      </c>
      <c r="D59" s="199">
        <v>8822403</v>
      </c>
      <c r="E59" s="199">
        <v>8128981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13431036</v>
      </c>
      <c r="D60" s="76">
        <v>14340976</v>
      </c>
      <c r="E60" s="201">
        <v>13240777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2.1559297407639885E-2</v>
      </c>
      <c r="D62" s="202">
        <f>IF(D63=0,0,+D57/D63)</f>
        <v>2.1807070551725524E-2</v>
      </c>
      <c r="E62" s="202">
        <f>IF(E63=0,0,+E57/E63)</f>
        <v>1.8681797583215309E-2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264111731</v>
      </c>
      <c r="D63" s="199">
        <v>249935251</v>
      </c>
      <c r="E63" s="199">
        <v>252028161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4.9851907171696892</v>
      </c>
      <c r="D67" s="203">
        <f>IF(D69=0,0,D68/D69)</f>
        <v>6.0695186805904866</v>
      </c>
      <c r="E67" s="203">
        <f>IF(E69=0,0,E68/E69)</f>
        <v>6.0358068866328676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154331609</v>
      </c>
      <c r="D68" s="204">
        <v>176775642</v>
      </c>
      <c r="E68" s="204">
        <v>236054788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30958015</v>
      </c>
      <c r="D69" s="204">
        <v>29125150</v>
      </c>
      <c r="E69" s="204">
        <v>39109069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159.32739207053027</v>
      </c>
      <c r="D71" s="203">
        <f>IF((D77/365)=0,0,+D74/(D77/365))</f>
        <v>206.07728307154741</v>
      </c>
      <c r="E71" s="203">
        <f>IF((E77/365)=0,0,+E74/(E77/365))</f>
        <v>288.78425591475224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107428365</v>
      </c>
      <c r="D72" s="183">
        <v>132347698</v>
      </c>
      <c r="E72" s="183">
        <v>187018905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107428365</v>
      </c>
      <c r="D74" s="204">
        <f>+D72+D73</f>
        <v>132347698</v>
      </c>
      <c r="E74" s="204">
        <f>+E72+E73</f>
        <v>187018905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264111731</v>
      </c>
      <c r="D75" s="204">
        <f>+D14</f>
        <v>249935251</v>
      </c>
      <c r="E75" s="204">
        <f>+E14</f>
        <v>252028161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18006195</v>
      </c>
      <c r="D76" s="204">
        <v>15523631</v>
      </c>
      <c r="E76" s="204">
        <v>15651354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246105536</v>
      </c>
      <c r="D77" s="204">
        <f>+D75-D76</f>
        <v>234411620</v>
      </c>
      <c r="E77" s="204">
        <f>+E75-E76</f>
        <v>236376807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39.722046666554036</v>
      </c>
      <c r="D79" s="203">
        <f>IF((D84/365)=0,0,+D83/(D84/365))</f>
        <v>39.747463243066989</v>
      </c>
      <c r="E79" s="203">
        <f>IF((E84/365)=0,0,+E83/(E84/365))</f>
        <v>35.979811182449588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32015340</v>
      </c>
      <c r="D80" s="212">
        <v>31013657</v>
      </c>
      <c r="E80" s="212">
        <v>36980052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1193235</v>
      </c>
      <c r="D82" s="212">
        <v>1828257</v>
      </c>
      <c r="E82" s="212">
        <v>8036715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30822105</v>
      </c>
      <c r="D83" s="212">
        <f>+D80+D81-D82</f>
        <v>29185400</v>
      </c>
      <c r="E83" s="212">
        <f>+E80+E81-E82</f>
        <v>28943337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283219755</v>
      </c>
      <c r="D84" s="204">
        <f>+D11</f>
        <v>268008827</v>
      </c>
      <c r="E84" s="204">
        <f>+E11</f>
        <v>293617939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45.913942687579365</v>
      </c>
      <c r="D86" s="203">
        <f>IF((D90/365)=0,0,+D87/(D90/365))</f>
        <v>45.350481132291996</v>
      </c>
      <c r="E86" s="203">
        <f>IF((E90/365)=0,0,+E87/(E90/365))</f>
        <v>60.390062655343336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30958015</v>
      </c>
      <c r="D87" s="76">
        <f>+D69</f>
        <v>29125150</v>
      </c>
      <c r="E87" s="76">
        <f>+E69</f>
        <v>39109069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264111731</v>
      </c>
      <c r="D88" s="76">
        <f t="shared" si="0"/>
        <v>249935251</v>
      </c>
      <c r="E88" s="76">
        <f t="shared" si="0"/>
        <v>252028161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18006195</v>
      </c>
      <c r="D89" s="201">
        <f t="shared" si="0"/>
        <v>15523631</v>
      </c>
      <c r="E89" s="201">
        <f t="shared" si="0"/>
        <v>15651354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246105536</v>
      </c>
      <c r="D90" s="76">
        <f>+D88-D89</f>
        <v>234411620</v>
      </c>
      <c r="E90" s="76">
        <f>+E88-E89</f>
        <v>236376807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50.350576794481903</v>
      </c>
      <c r="D94" s="214">
        <f>IF(D96=0,0,(D95/D96)*100)</f>
        <v>68.275191635396851</v>
      </c>
      <c r="E94" s="214">
        <f>IF(E96=0,0,(E95/E96)*100)</f>
        <v>69.037942153291667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197844044</v>
      </c>
      <c r="D95" s="76">
        <f>+D32</f>
        <v>325472938</v>
      </c>
      <c r="E95" s="76">
        <f>+E32</f>
        <v>354463494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392933024</v>
      </c>
      <c r="D96" s="76">
        <v>476707469</v>
      </c>
      <c r="E96" s="76">
        <v>513432879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59.771932522421892</v>
      </c>
      <c r="D98" s="214">
        <f>IF(D104=0,0,(D101/D104)*100)</f>
        <v>53.008543036334324</v>
      </c>
      <c r="E98" s="214">
        <f>IF(E104=0,0,(E101/E104)*100)</f>
        <v>68.35887024676704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39383829</v>
      </c>
      <c r="D99" s="76">
        <f>+D28</f>
        <v>35533499</v>
      </c>
      <c r="E99" s="76">
        <f>+E28</f>
        <v>57703715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18006195</v>
      </c>
      <c r="D100" s="201">
        <f>+D76</f>
        <v>15523631</v>
      </c>
      <c r="E100" s="201">
        <f>+E76</f>
        <v>15651354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57390024</v>
      </c>
      <c r="D101" s="76">
        <f>+D99+D100</f>
        <v>51057130</v>
      </c>
      <c r="E101" s="76">
        <f>+E99+E100</f>
        <v>73355069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30958015</v>
      </c>
      <c r="D102" s="204">
        <f>+D69</f>
        <v>29125150</v>
      </c>
      <c r="E102" s="204">
        <f>+E69</f>
        <v>39109069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65056990</v>
      </c>
      <c r="D103" s="216">
        <v>67193532</v>
      </c>
      <c r="E103" s="216">
        <v>68199710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96015005</v>
      </c>
      <c r="D104" s="204">
        <f>+D102+D103</f>
        <v>96318682</v>
      </c>
      <c r="E104" s="204">
        <f>+E102+E103</f>
        <v>107308779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24.74580986242907</v>
      </c>
      <c r="D106" s="214">
        <f>IF(D109=0,0,(D107/D109)*100)</f>
        <v>17.112113494182481</v>
      </c>
      <c r="E106" s="214">
        <f>IF(E109=0,0,(E107/E109)*100)</f>
        <v>16.135710266370857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65056990</v>
      </c>
      <c r="D107" s="204">
        <f>+D103</f>
        <v>67193532</v>
      </c>
      <c r="E107" s="204">
        <f>+E103</f>
        <v>68199710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197844044</v>
      </c>
      <c r="D108" s="204">
        <f>+D32</f>
        <v>325472938</v>
      </c>
      <c r="E108" s="204">
        <f>+E32</f>
        <v>354463494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262901034</v>
      </c>
      <c r="D109" s="204">
        <f>+D107+D108</f>
        <v>392666470</v>
      </c>
      <c r="E109" s="204">
        <f>+E107+E108</f>
        <v>422663204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11.451230777826519</v>
      </c>
      <c r="D111" s="214">
        <f>IF((+D113+D115)=0,0,((+D112+D113+D114)/(+D113+D115)))</f>
        <v>9.9317910241062446</v>
      </c>
      <c r="E111" s="214">
        <f>IF((+E113+E115)=0,0,((+E112+E113+E114)/(+E113+E115)))</f>
        <v>14.071965706953108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39383829</v>
      </c>
      <c r="D112" s="76">
        <f>+D17</f>
        <v>35533499</v>
      </c>
      <c r="E112" s="76">
        <f>+E17</f>
        <v>57703715</v>
      </c>
    </row>
    <row r="113" spans="1:8" ht="24" customHeight="1" x14ac:dyDescent="0.2">
      <c r="A113" s="85">
        <v>17</v>
      </c>
      <c r="B113" s="75" t="s">
        <v>88</v>
      </c>
      <c r="C113" s="218">
        <v>3276169</v>
      </c>
      <c r="D113" s="76">
        <v>3375173</v>
      </c>
      <c r="E113" s="76">
        <v>2992001</v>
      </c>
    </row>
    <row r="114" spans="1:8" ht="24" customHeight="1" x14ac:dyDescent="0.2">
      <c r="A114" s="85">
        <v>18</v>
      </c>
      <c r="B114" s="75" t="s">
        <v>374</v>
      </c>
      <c r="C114" s="218">
        <v>18006195</v>
      </c>
      <c r="D114" s="76">
        <v>15523631</v>
      </c>
      <c r="E114" s="76">
        <v>15651354</v>
      </c>
    </row>
    <row r="115" spans="1:8" ht="24" customHeight="1" x14ac:dyDescent="0.2">
      <c r="A115" s="85">
        <v>19</v>
      </c>
      <c r="B115" s="75" t="s">
        <v>104</v>
      </c>
      <c r="C115" s="218">
        <v>2021619</v>
      </c>
      <c r="D115" s="76">
        <v>2105440</v>
      </c>
      <c r="E115" s="76">
        <v>2433472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8.2725952928978046</v>
      </c>
      <c r="D119" s="214">
        <f>IF(+D121=0,0,(+D120)/(+D121))</f>
        <v>10.367303757735545</v>
      </c>
      <c r="E119" s="214">
        <f>IF(+E121=0,0,(+E120)/(+E121))</f>
        <v>11.197957058539473</v>
      </c>
    </row>
    <row r="120" spans="1:8" ht="24" customHeight="1" x14ac:dyDescent="0.2">
      <c r="A120" s="85">
        <v>21</v>
      </c>
      <c r="B120" s="75" t="s">
        <v>378</v>
      </c>
      <c r="C120" s="218">
        <v>148957964</v>
      </c>
      <c r="D120" s="218">
        <v>160938198</v>
      </c>
      <c r="E120" s="218">
        <v>175263190</v>
      </c>
    </row>
    <row r="121" spans="1:8" ht="24" customHeight="1" x14ac:dyDescent="0.2">
      <c r="A121" s="85">
        <v>22</v>
      </c>
      <c r="B121" s="75" t="s">
        <v>374</v>
      </c>
      <c r="C121" s="218">
        <v>18006195</v>
      </c>
      <c r="D121" s="218">
        <v>15523631</v>
      </c>
      <c r="E121" s="218">
        <v>15651354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49361</v>
      </c>
      <c r="D124" s="218">
        <v>48465</v>
      </c>
      <c r="E124" s="218">
        <v>48840</v>
      </c>
    </row>
    <row r="125" spans="1:8" ht="24" customHeight="1" x14ac:dyDescent="0.2">
      <c r="A125" s="85">
        <v>2</v>
      </c>
      <c r="B125" s="75" t="s">
        <v>381</v>
      </c>
      <c r="C125" s="218">
        <v>11911</v>
      </c>
      <c r="D125" s="218">
        <v>11396</v>
      </c>
      <c r="E125" s="218">
        <v>10690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4.1441524641088066</v>
      </c>
      <c r="D126" s="219">
        <f>IF(D125=0,0,D124/D125)</f>
        <v>4.2528080028080026</v>
      </c>
      <c r="E126" s="219">
        <f>IF(E125=0,0,E124/E125)</f>
        <v>4.568755846585594</v>
      </c>
    </row>
    <row r="127" spans="1:8" ht="24" customHeight="1" x14ac:dyDescent="0.2">
      <c r="A127" s="85">
        <v>4</v>
      </c>
      <c r="B127" s="75" t="s">
        <v>383</v>
      </c>
      <c r="C127" s="218">
        <v>201</v>
      </c>
      <c r="D127" s="218">
        <v>201</v>
      </c>
      <c r="E127" s="218">
        <v>201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233</v>
      </c>
      <c r="E128" s="218">
        <v>233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233</v>
      </c>
      <c r="D129" s="218">
        <v>233</v>
      </c>
      <c r="E129" s="218">
        <v>233</v>
      </c>
    </row>
    <row r="130" spans="1:7" ht="24" customHeight="1" x14ac:dyDescent="0.2">
      <c r="A130" s="85">
        <v>7</v>
      </c>
      <c r="B130" s="75" t="s">
        <v>386</v>
      </c>
      <c r="C130" s="193">
        <v>0.67279999999999995</v>
      </c>
      <c r="D130" s="193">
        <v>0.66059999999999997</v>
      </c>
      <c r="E130" s="193">
        <v>0.66569999999999996</v>
      </c>
    </row>
    <row r="131" spans="1:7" ht="24" customHeight="1" x14ac:dyDescent="0.2">
      <c r="A131" s="85">
        <v>8</v>
      </c>
      <c r="B131" s="75" t="s">
        <v>387</v>
      </c>
      <c r="C131" s="193">
        <v>0.58040000000000003</v>
      </c>
      <c r="D131" s="193">
        <v>0.56979999999999997</v>
      </c>
      <c r="E131" s="193">
        <v>0.57420000000000004</v>
      </c>
    </row>
    <row r="132" spans="1:7" ht="24" customHeight="1" x14ac:dyDescent="0.2">
      <c r="A132" s="85">
        <v>9</v>
      </c>
      <c r="B132" s="75" t="s">
        <v>388</v>
      </c>
      <c r="C132" s="219">
        <v>1542.8</v>
      </c>
      <c r="D132" s="219">
        <v>1531.7</v>
      </c>
      <c r="E132" s="219">
        <v>1457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0.38285880930129662</v>
      </c>
      <c r="D135" s="227">
        <f>IF(D149=0,0,D143/D149)</f>
        <v>0.36503324260631481</v>
      </c>
      <c r="E135" s="227">
        <f>IF(E149=0,0,E143/E149)</f>
        <v>0.34656880439103666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0.40038076602001765</v>
      </c>
      <c r="D136" s="227">
        <f>IF(D149=0,0,D144/D149)</f>
        <v>0.40439717371044087</v>
      </c>
      <c r="E136" s="227">
        <f>IF(E149=0,0,E144/E149)</f>
        <v>0.41106304371334651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0.1747236892516488</v>
      </c>
      <c r="D137" s="227">
        <f>IF(D149=0,0,D145/D149)</f>
        <v>0.1891474918628113</v>
      </c>
      <c r="E137" s="227">
        <f>IF(E149=0,0,E145/E149)</f>
        <v>0.20222810806623021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3.957155477019603E-3</v>
      </c>
      <c r="D138" s="227">
        <f>IF(D149=0,0,D146/D149)</f>
        <v>4.5908894297093973E-3</v>
      </c>
      <c r="E138" s="227">
        <f>IF(E149=0,0,E146/E149)</f>
        <v>5.7995971534848907E-3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2.1320129075032394E-2</v>
      </c>
      <c r="D139" s="227">
        <f>IF(D149=0,0,D147/D149)</f>
        <v>2.2258569266168916E-2</v>
      </c>
      <c r="E139" s="227">
        <f>IF(E149=0,0,E147/E149)</f>
        <v>1.8551738165036545E-2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1.6759450874984965E-2</v>
      </c>
      <c r="D140" s="227">
        <f>IF(D149=0,0,D148/D149)</f>
        <v>1.4572633124554696E-2</v>
      </c>
      <c r="E140" s="227">
        <f>IF(E149=0,0,E148/E149)</f>
        <v>1.5788708510865203E-2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235658963</v>
      </c>
      <c r="D143" s="229">
        <f>+D46-D147</f>
        <v>237427601</v>
      </c>
      <c r="E143" s="229">
        <f>+E46-E147</f>
        <v>243189223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246444156</v>
      </c>
      <c r="D144" s="229">
        <f>+D51</f>
        <v>263030978</v>
      </c>
      <c r="E144" s="229">
        <f>+E51</f>
        <v>288445183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107546705</v>
      </c>
      <c r="D145" s="229">
        <f>+D55</f>
        <v>123026700</v>
      </c>
      <c r="E145" s="229">
        <f>+E55</f>
        <v>141904568</v>
      </c>
    </row>
    <row r="146" spans="1:7" ht="20.100000000000001" customHeight="1" x14ac:dyDescent="0.2">
      <c r="A146" s="226">
        <v>11</v>
      </c>
      <c r="B146" s="224" t="s">
        <v>400</v>
      </c>
      <c r="C146" s="228">
        <v>2435726</v>
      </c>
      <c r="D146" s="229">
        <v>2986040</v>
      </c>
      <c r="E146" s="229">
        <v>4069609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13123061</v>
      </c>
      <c r="D147" s="229">
        <f>+D47</f>
        <v>14477582</v>
      </c>
      <c r="E147" s="229">
        <f>+E47</f>
        <v>13017856</v>
      </c>
    </row>
    <row r="148" spans="1:7" ht="20.100000000000001" customHeight="1" x14ac:dyDescent="0.2">
      <c r="A148" s="226">
        <v>13</v>
      </c>
      <c r="B148" s="224" t="s">
        <v>402</v>
      </c>
      <c r="C148" s="230">
        <v>10315852</v>
      </c>
      <c r="D148" s="229">
        <v>9478439</v>
      </c>
      <c r="E148" s="229">
        <v>11079023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615524463</v>
      </c>
      <c r="D149" s="229">
        <f>SUM(D143:D148)</f>
        <v>650427340</v>
      </c>
      <c r="E149" s="229">
        <f>SUM(E143:E148)</f>
        <v>701705462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0.55078969672488576</v>
      </c>
      <c r="D152" s="227">
        <f>IF(D166=0,0,D160/D166)</f>
        <v>0.55201596983056744</v>
      </c>
      <c r="E152" s="227">
        <f>IF(E166=0,0,E160/E166)</f>
        <v>0.52556415952849522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0.33127563911706925</v>
      </c>
      <c r="D153" s="227">
        <f>IF(D166=0,0,D161/D166)</f>
        <v>0.31291095933253071</v>
      </c>
      <c r="E153" s="227">
        <f>IF(E166=0,0,E161/E166)</f>
        <v>0.3326432840401875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9.4013230483508431E-2</v>
      </c>
      <c r="D154" s="227">
        <f>IF(D166=0,0,D162/D166)</f>
        <v>0.11360968598184389</v>
      </c>
      <c r="E154" s="227">
        <f>IF(E166=0,0,E162/E166)</f>
        <v>0.11883646306103046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2.2701676956676481E-3</v>
      </c>
      <c r="D155" s="227">
        <f>IF(D166=0,0,D163/D166)</f>
        <v>2.9993304568040565E-3</v>
      </c>
      <c r="E155" s="227">
        <f>IF(E166=0,0,E163/E166)</f>
        <v>4.9252252363591095E-3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9.669300230886798E-3</v>
      </c>
      <c r="D156" s="227">
        <f>IF(D166=0,0,D164/D166)</f>
        <v>8.6774993883009799E-3</v>
      </c>
      <c r="E156" s="227">
        <f>IF(E166=0,0,E164/E166)</f>
        <v>7.3291428382646811E-3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1.1981965747982106E-2</v>
      </c>
      <c r="D157" s="227">
        <f>IF(D166=0,0,D165/D166)</f>
        <v>9.7865550099529349E-3</v>
      </c>
      <c r="E157" s="227">
        <f>IF(E166=0,0,E165/E166)</f>
        <v>1.0701725295662998E-2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152725612</v>
      </c>
      <c r="D160" s="229">
        <f>+D44-D164</f>
        <v>151750489</v>
      </c>
      <c r="E160" s="229">
        <f>+E44-E164</f>
        <v>156666339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91857700</v>
      </c>
      <c r="D161" s="229">
        <f>+D50</f>
        <v>86019959</v>
      </c>
      <c r="E161" s="229">
        <f>+E50</f>
        <v>99158218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26068440</v>
      </c>
      <c r="D162" s="229">
        <f>+D54</f>
        <v>31231570</v>
      </c>
      <c r="E162" s="229">
        <f>+E54</f>
        <v>35424169</v>
      </c>
    </row>
    <row r="163" spans="1:6" ht="20.100000000000001" customHeight="1" x14ac:dyDescent="0.2">
      <c r="A163" s="226">
        <v>11</v>
      </c>
      <c r="B163" s="224" t="s">
        <v>415</v>
      </c>
      <c r="C163" s="228">
        <v>629483</v>
      </c>
      <c r="D163" s="229">
        <v>824523</v>
      </c>
      <c r="E163" s="229">
        <v>1468169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2681150</v>
      </c>
      <c r="D164" s="229">
        <f>+D45</f>
        <v>2385465</v>
      </c>
      <c r="E164" s="229">
        <f>+E45</f>
        <v>2184757</v>
      </c>
    </row>
    <row r="165" spans="1:6" ht="20.100000000000001" customHeight="1" x14ac:dyDescent="0.2">
      <c r="A165" s="226">
        <v>13</v>
      </c>
      <c r="B165" s="224" t="s">
        <v>417</v>
      </c>
      <c r="C165" s="230">
        <v>3322417</v>
      </c>
      <c r="D165" s="229">
        <v>2690347</v>
      </c>
      <c r="E165" s="229">
        <v>3190096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277284802</v>
      </c>
      <c r="D166" s="229">
        <f>SUM(D160:D165)</f>
        <v>274902353</v>
      </c>
      <c r="E166" s="229">
        <f>SUM(E160:E165)</f>
        <v>298091748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3836</v>
      </c>
      <c r="D169" s="218">
        <v>3554</v>
      </c>
      <c r="E169" s="218">
        <v>3221</v>
      </c>
    </row>
    <row r="170" spans="1:6" ht="20.100000000000001" customHeight="1" x14ac:dyDescent="0.2">
      <c r="A170" s="226">
        <v>2</v>
      </c>
      <c r="B170" s="224" t="s">
        <v>420</v>
      </c>
      <c r="C170" s="218">
        <v>5508</v>
      </c>
      <c r="D170" s="218">
        <v>5244</v>
      </c>
      <c r="E170" s="218">
        <v>4906</v>
      </c>
    </row>
    <row r="171" spans="1:6" ht="20.100000000000001" customHeight="1" x14ac:dyDescent="0.2">
      <c r="A171" s="226">
        <v>3</v>
      </c>
      <c r="B171" s="224" t="s">
        <v>421</v>
      </c>
      <c r="C171" s="218">
        <v>2347</v>
      </c>
      <c r="D171" s="218">
        <v>2409</v>
      </c>
      <c r="E171" s="218">
        <v>2346</v>
      </c>
    </row>
    <row r="172" spans="1:6" ht="20.100000000000001" customHeight="1" x14ac:dyDescent="0.2">
      <c r="A172" s="226">
        <v>4</v>
      </c>
      <c r="B172" s="224" t="s">
        <v>422</v>
      </c>
      <c r="C172" s="218">
        <v>2286</v>
      </c>
      <c r="D172" s="218">
        <v>2341</v>
      </c>
      <c r="E172" s="218">
        <v>2282</v>
      </c>
    </row>
    <row r="173" spans="1:6" ht="20.100000000000001" customHeight="1" x14ac:dyDescent="0.2">
      <c r="A173" s="226">
        <v>5</v>
      </c>
      <c r="B173" s="224" t="s">
        <v>423</v>
      </c>
      <c r="C173" s="218">
        <v>61</v>
      </c>
      <c r="D173" s="218">
        <v>68</v>
      </c>
      <c r="E173" s="218">
        <v>64</v>
      </c>
    </row>
    <row r="174" spans="1:6" ht="20.100000000000001" customHeight="1" x14ac:dyDescent="0.2">
      <c r="A174" s="226">
        <v>6</v>
      </c>
      <c r="B174" s="224" t="s">
        <v>424</v>
      </c>
      <c r="C174" s="218">
        <v>220</v>
      </c>
      <c r="D174" s="218">
        <v>189</v>
      </c>
      <c r="E174" s="218">
        <v>217</v>
      </c>
    </row>
    <row r="175" spans="1:6" ht="20.100000000000001" customHeight="1" x14ac:dyDescent="0.2">
      <c r="A175" s="226">
        <v>7</v>
      </c>
      <c r="B175" s="224" t="s">
        <v>425</v>
      </c>
      <c r="C175" s="218">
        <v>124</v>
      </c>
      <c r="D175" s="218">
        <v>132</v>
      </c>
      <c r="E175" s="218">
        <v>141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11911</v>
      </c>
      <c r="D176" s="218">
        <f>+D169+D170+D171+D174</f>
        <v>11396</v>
      </c>
      <c r="E176" s="218">
        <f>+E169+E170+E171+E174</f>
        <v>10690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1.2529999999999999</v>
      </c>
      <c r="D179" s="231">
        <v>1.2533000000000001</v>
      </c>
      <c r="E179" s="231">
        <v>1.2708999999999999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1.3653999999999999</v>
      </c>
      <c r="D180" s="231">
        <v>1.4244000000000001</v>
      </c>
      <c r="E180" s="231">
        <v>1.4553</v>
      </c>
    </row>
    <row r="181" spans="1:6" ht="20.100000000000001" customHeight="1" x14ac:dyDescent="0.2">
      <c r="A181" s="226">
        <v>3</v>
      </c>
      <c r="B181" s="224" t="s">
        <v>421</v>
      </c>
      <c r="C181" s="231">
        <v>1.0055730000000001</v>
      </c>
      <c r="D181" s="231">
        <v>1.0555380000000001</v>
      </c>
      <c r="E181" s="231">
        <v>1.049671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1.0051000000000001</v>
      </c>
      <c r="D182" s="231">
        <v>1.0599000000000001</v>
      </c>
      <c r="E182" s="231">
        <v>1.0405</v>
      </c>
    </row>
    <row r="183" spans="1:6" ht="20.100000000000001" customHeight="1" x14ac:dyDescent="0.2">
      <c r="A183" s="226">
        <v>5</v>
      </c>
      <c r="B183" s="224" t="s">
        <v>423</v>
      </c>
      <c r="C183" s="231">
        <v>1.0233000000000001</v>
      </c>
      <c r="D183" s="231">
        <v>0.90539999999999998</v>
      </c>
      <c r="E183" s="231">
        <v>1.3767</v>
      </c>
    </row>
    <row r="184" spans="1:6" ht="20.100000000000001" customHeight="1" x14ac:dyDescent="0.2">
      <c r="A184" s="226">
        <v>6</v>
      </c>
      <c r="B184" s="224" t="s">
        <v>424</v>
      </c>
      <c r="C184" s="231">
        <v>0.94120000000000004</v>
      </c>
      <c r="D184" s="231">
        <v>0.7319</v>
      </c>
      <c r="E184" s="231">
        <v>0.72919999999999996</v>
      </c>
    </row>
    <row r="185" spans="1:6" ht="20.100000000000001" customHeight="1" x14ac:dyDescent="0.2">
      <c r="A185" s="226">
        <v>7</v>
      </c>
      <c r="B185" s="224" t="s">
        <v>425</v>
      </c>
      <c r="C185" s="231">
        <v>1.1507000000000001</v>
      </c>
      <c r="D185" s="231">
        <v>0.99509999999999998</v>
      </c>
      <c r="E185" s="231">
        <v>1.1024</v>
      </c>
    </row>
    <row r="186" spans="1:6" ht="20.100000000000001" customHeight="1" x14ac:dyDescent="0.2">
      <c r="A186" s="226">
        <v>8</v>
      </c>
      <c r="B186" s="224" t="s">
        <v>429</v>
      </c>
      <c r="C186" s="231">
        <v>1.2504630000000001</v>
      </c>
      <c r="D186" s="231">
        <v>1.2815810000000001</v>
      </c>
      <c r="E186" s="231">
        <v>1.295981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7364</v>
      </c>
      <c r="D189" s="218">
        <v>7289</v>
      </c>
      <c r="E189" s="218">
        <v>6794</v>
      </c>
    </row>
    <row r="190" spans="1:6" ht="20.100000000000001" customHeight="1" x14ac:dyDescent="0.2">
      <c r="A190" s="226">
        <v>2</v>
      </c>
      <c r="B190" s="224" t="s">
        <v>433</v>
      </c>
      <c r="C190" s="218">
        <v>60738</v>
      </c>
      <c r="D190" s="218">
        <v>71555</v>
      </c>
      <c r="E190" s="218">
        <v>72087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68102</v>
      </c>
      <c r="D191" s="218">
        <f>+D190+D189</f>
        <v>78844</v>
      </c>
      <c r="E191" s="218">
        <f>+E190+E189</f>
        <v>78881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FILING&amp;RWILLIAM W. BACKUS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1040740</v>
      </c>
      <c r="D14" s="258">
        <v>182394</v>
      </c>
      <c r="E14" s="258">
        <f t="shared" ref="E14:E24" si="0">D14-C14</f>
        <v>-858346</v>
      </c>
      <c r="F14" s="259">
        <f t="shared" ref="F14:F24" si="1">IF(C14=0,0,E14/C14)</f>
        <v>-0.82474585391163979</v>
      </c>
    </row>
    <row r="15" spans="1:7" ht="20.25" customHeight="1" x14ac:dyDescent="0.3">
      <c r="A15" s="256">
        <v>2</v>
      </c>
      <c r="B15" s="257" t="s">
        <v>442</v>
      </c>
      <c r="C15" s="258">
        <v>486880</v>
      </c>
      <c r="D15" s="258">
        <v>80011</v>
      </c>
      <c r="E15" s="258">
        <f t="shared" si="0"/>
        <v>-406869</v>
      </c>
      <c r="F15" s="259">
        <f t="shared" si="1"/>
        <v>-0.83566587249424906</v>
      </c>
    </row>
    <row r="16" spans="1:7" ht="20.25" customHeight="1" x14ac:dyDescent="0.3">
      <c r="A16" s="256">
        <v>3</v>
      </c>
      <c r="B16" s="257" t="s">
        <v>443</v>
      </c>
      <c r="C16" s="258">
        <v>1582009</v>
      </c>
      <c r="D16" s="258">
        <v>373328</v>
      </c>
      <c r="E16" s="258">
        <f t="shared" si="0"/>
        <v>-1208681</v>
      </c>
      <c r="F16" s="259">
        <f t="shared" si="1"/>
        <v>-0.76401651318039276</v>
      </c>
    </row>
    <row r="17" spans="1:6" ht="20.25" customHeight="1" x14ac:dyDescent="0.3">
      <c r="A17" s="256">
        <v>4</v>
      </c>
      <c r="B17" s="257" t="s">
        <v>444</v>
      </c>
      <c r="C17" s="258">
        <v>314344</v>
      </c>
      <c r="D17" s="258">
        <v>78894</v>
      </c>
      <c r="E17" s="258">
        <f t="shared" si="0"/>
        <v>-235450</v>
      </c>
      <c r="F17" s="259">
        <f t="shared" si="1"/>
        <v>-0.74902018171175533</v>
      </c>
    </row>
    <row r="18" spans="1:6" ht="20.25" customHeight="1" x14ac:dyDescent="0.3">
      <c r="A18" s="256">
        <v>5</v>
      </c>
      <c r="B18" s="257" t="s">
        <v>381</v>
      </c>
      <c r="C18" s="260">
        <v>50</v>
      </c>
      <c r="D18" s="260">
        <v>9</v>
      </c>
      <c r="E18" s="260">
        <f t="shared" si="0"/>
        <v>-41</v>
      </c>
      <c r="F18" s="259">
        <f t="shared" si="1"/>
        <v>-0.82</v>
      </c>
    </row>
    <row r="19" spans="1:6" ht="20.25" customHeight="1" x14ac:dyDescent="0.3">
      <c r="A19" s="256">
        <v>6</v>
      </c>
      <c r="B19" s="257" t="s">
        <v>380</v>
      </c>
      <c r="C19" s="260">
        <v>193</v>
      </c>
      <c r="D19" s="260">
        <v>40</v>
      </c>
      <c r="E19" s="260">
        <f t="shared" si="0"/>
        <v>-153</v>
      </c>
      <c r="F19" s="259">
        <f t="shared" si="1"/>
        <v>-0.79274611398963735</v>
      </c>
    </row>
    <row r="20" spans="1:6" ht="20.25" customHeight="1" x14ac:dyDescent="0.3">
      <c r="A20" s="256">
        <v>7</v>
      </c>
      <c r="B20" s="257" t="s">
        <v>445</v>
      </c>
      <c r="C20" s="260">
        <v>983</v>
      </c>
      <c r="D20" s="260">
        <v>170</v>
      </c>
      <c r="E20" s="260">
        <f t="shared" si="0"/>
        <v>-813</v>
      </c>
      <c r="F20" s="259">
        <f t="shared" si="1"/>
        <v>-0.82706002034588</v>
      </c>
    </row>
    <row r="21" spans="1:6" ht="20.25" customHeight="1" x14ac:dyDescent="0.3">
      <c r="A21" s="256">
        <v>8</v>
      </c>
      <c r="B21" s="257" t="s">
        <v>446</v>
      </c>
      <c r="C21" s="260">
        <v>77</v>
      </c>
      <c r="D21" s="260">
        <v>38</v>
      </c>
      <c r="E21" s="260">
        <f t="shared" si="0"/>
        <v>-39</v>
      </c>
      <c r="F21" s="259">
        <f t="shared" si="1"/>
        <v>-0.50649350649350644</v>
      </c>
    </row>
    <row r="22" spans="1:6" ht="20.25" customHeight="1" x14ac:dyDescent="0.3">
      <c r="A22" s="256">
        <v>9</v>
      </c>
      <c r="B22" s="257" t="s">
        <v>447</v>
      </c>
      <c r="C22" s="260">
        <v>41</v>
      </c>
      <c r="D22" s="260">
        <v>7</v>
      </c>
      <c r="E22" s="260">
        <f t="shared" si="0"/>
        <v>-34</v>
      </c>
      <c r="F22" s="259">
        <f t="shared" si="1"/>
        <v>-0.82926829268292679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2622749</v>
      </c>
      <c r="D23" s="263">
        <f>+D14+D16</f>
        <v>555722</v>
      </c>
      <c r="E23" s="263">
        <f t="shared" si="0"/>
        <v>-2067027</v>
      </c>
      <c r="F23" s="264">
        <f t="shared" si="1"/>
        <v>-0.78811468424923625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801224</v>
      </c>
      <c r="D24" s="263">
        <f>+D15+D17</f>
        <v>158905</v>
      </c>
      <c r="E24" s="263">
        <f t="shared" si="0"/>
        <v>-642319</v>
      </c>
      <c r="F24" s="264">
        <f t="shared" si="1"/>
        <v>-0.80167219154693314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8487511</v>
      </c>
      <c r="D40" s="258">
        <v>11611719</v>
      </c>
      <c r="E40" s="258">
        <f t="shared" ref="E40:E50" si="4">D40-C40</f>
        <v>3124208</v>
      </c>
      <c r="F40" s="259">
        <f t="shared" ref="F40:F50" si="5">IF(C40=0,0,E40/C40)</f>
        <v>0.36809472176236357</v>
      </c>
    </row>
    <row r="41" spans="1:6" ht="20.25" customHeight="1" x14ac:dyDescent="0.3">
      <c r="A41" s="256">
        <v>2</v>
      </c>
      <c r="B41" s="257" t="s">
        <v>442</v>
      </c>
      <c r="C41" s="258">
        <v>3780515</v>
      </c>
      <c r="D41" s="258">
        <v>4822774</v>
      </c>
      <c r="E41" s="258">
        <f t="shared" si="4"/>
        <v>1042259</v>
      </c>
      <c r="F41" s="259">
        <f t="shared" si="5"/>
        <v>0.27569233292289541</v>
      </c>
    </row>
    <row r="42" spans="1:6" ht="20.25" customHeight="1" x14ac:dyDescent="0.3">
      <c r="A42" s="256">
        <v>3</v>
      </c>
      <c r="B42" s="257" t="s">
        <v>443</v>
      </c>
      <c r="C42" s="258">
        <v>14568978</v>
      </c>
      <c r="D42" s="258">
        <v>17960296</v>
      </c>
      <c r="E42" s="258">
        <f t="shared" si="4"/>
        <v>3391318</v>
      </c>
      <c r="F42" s="259">
        <f t="shared" si="5"/>
        <v>0.2327766573605918</v>
      </c>
    </row>
    <row r="43" spans="1:6" ht="20.25" customHeight="1" x14ac:dyDescent="0.3">
      <c r="A43" s="256">
        <v>4</v>
      </c>
      <c r="B43" s="257" t="s">
        <v>444</v>
      </c>
      <c r="C43" s="258">
        <v>3293425</v>
      </c>
      <c r="D43" s="258">
        <v>4108684</v>
      </c>
      <c r="E43" s="258">
        <f t="shared" si="4"/>
        <v>815259</v>
      </c>
      <c r="F43" s="259">
        <f t="shared" si="5"/>
        <v>0.24754138928319303</v>
      </c>
    </row>
    <row r="44" spans="1:6" ht="20.25" customHeight="1" x14ac:dyDescent="0.3">
      <c r="A44" s="256">
        <v>5</v>
      </c>
      <c r="B44" s="257" t="s">
        <v>381</v>
      </c>
      <c r="C44" s="260">
        <v>359</v>
      </c>
      <c r="D44" s="260">
        <v>441</v>
      </c>
      <c r="E44" s="260">
        <f t="shared" si="4"/>
        <v>82</v>
      </c>
      <c r="F44" s="259">
        <f t="shared" si="5"/>
        <v>0.22841225626740946</v>
      </c>
    </row>
    <row r="45" spans="1:6" ht="20.25" customHeight="1" x14ac:dyDescent="0.3">
      <c r="A45" s="256">
        <v>6</v>
      </c>
      <c r="B45" s="257" t="s">
        <v>380</v>
      </c>
      <c r="C45" s="260">
        <v>1640</v>
      </c>
      <c r="D45" s="260">
        <v>2174</v>
      </c>
      <c r="E45" s="260">
        <f t="shared" si="4"/>
        <v>534</v>
      </c>
      <c r="F45" s="259">
        <f t="shared" si="5"/>
        <v>0.32560975609756099</v>
      </c>
    </row>
    <row r="46" spans="1:6" ht="20.25" customHeight="1" x14ac:dyDescent="0.3">
      <c r="A46" s="256">
        <v>7</v>
      </c>
      <c r="B46" s="257" t="s">
        <v>445</v>
      </c>
      <c r="C46" s="260">
        <v>9464</v>
      </c>
      <c r="D46" s="260">
        <v>10516</v>
      </c>
      <c r="E46" s="260">
        <f t="shared" si="4"/>
        <v>1052</v>
      </c>
      <c r="F46" s="259">
        <f t="shared" si="5"/>
        <v>0.11115807269653423</v>
      </c>
    </row>
    <row r="47" spans="1:6" ht="20.25" customHeight="1" x14ac:dyDescent="0.3">
      <c r="A47" s="256">
        <v>8</v>
      </c>
      <c r="B47" s="257" t="s">
        <v>446</v>
      </c>
      <c r="C47" s="260">
        <v>535</v>
      </c>
      <c r="D47" s="260">
        <v>996</v>
      </c>
      <c r="E47" s="260">
        <f t="shared" si="4"/>
        <v>461</v>
      </c>
      <c r="F47" s="259">
        <f t="shared" si="5"/>
        <v>0.86168224299065421</v>
      </c>
    </row>
    <row r="48" spans="1:6" ht="20.25" customHeight="1" x14ac:dyDescent="0.3">
      <c r="A48" s="256">
        <v>9</v>
      </c>
      <c r="B48" s="257" t="s">
        <v>447</v>
      </c>
      <c r="C48" s="260">
        <v>269</v>
      </c>
      <c r="D48" s="260">
        <v>326</v>
      </c>
      <c r="E48" s="260">
        <f t="shared" si="4"/>
        <v>57</v>
      </c>
      <c r="F48" s="259">
        <f t="shared" si="5"/>
        <v>0.21189591078066913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23056489</v>
      </c>
      <c r="D49" s="263">
        <f>+D40+D42</f>
        <v>29572015</v>
      </c>
      <c r="E49" s="263">
        <f t="shared" si="4"/>
        <v>6515526</v>
      </c>
      <c r="F49" s="264">
        <f t="shared" si="5"/>
        <v>0.28258968657370165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7073940</v>
      </c>
      <c r="D50" s="263">
        <f>+D41+D43</f>
        <v>8931458</v>
      </c>
      <c r="E50" s="263">
        <f t="shared" si="4"/>
        <v>1857518</v>
      </c>
      <c r="F50" s="264">
        <f t="shared" si="5"/>
        <v>0.26258605529591711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1069710</v>
      </c>
      <c r="D66" s="258">
        <v>852174</v>
      </c>
      <c r="E66" s="258">
        <f t="shared" ref="E66:E76" si="8">D66-C66</f>
        <v>-217536</v>
      </c>
      <c r="F66" s="259">
        <f t="shared" ref="F66:F76" si="9">IF(C66=0,0,E66/C66)</f>
        <v>-0.20335978910171915</v>
      </c>
    </row>
    <row r="67" spans="1:6" ht="20.25" customHeight="1" x14ac:dyDescent="0.3">
      <c r="A67" s="256">
        <v>2</v>
      </c>
      <c r="B67" s="257" t="s">
        <v>442</v>
      </c>
      <c r="C67" s="258">
        <v>445724</v>
      </c>
      <c r="D67" s="258">
        <v>327993</v>
      </c>
      <c r="E67" s="258">
        <f t="shared" si="8"/>
        <v>-117731</v>
      </c>
      <c r="F67" s="259">
        <f t="shared" si="9"/>
        <v>-0.26413430732919924</v>
      </c>
    </row>
    <row r="68" spans="1:6" ht="20.25" customHeight="1" x14ac:dyDescent="0.3">
      <c r="A68" s="256">
        <v>3</v>
      </c>
      <c r="B68" s="257" t="s">
        <v>443</v>
      </c>
      <c r="C68" s="258">
        <v>674988</v>
      </c>
      <c r="D68" s="258">
        <v>465139</v>
      </c>
      <c r="E68" s="258">
        <f t="shared" si="8"/>
        <v>-209849</v>
      </c>
      <c r="F68" s="259">
        <f t="shared" si="9"/>
        <v>-0.31089293439290772</v>
      </c>
    </row>
    <row r="69" spans="1:6" ht="20.25" customHeight="1" x14ac:dyDescent="0.3">
      <c r="A69" s="256">
        <v>4</v>
      </c>
      <c r="B69" s="257" t="s">
        <v>444</v>
      </c>
      <c r="C69" s="258">
        <v>163063</v>
      </c>
      <c r="D69" s="258">
        <v>108637</v>
      </c>
      <c r="E69" s="258">
        <f t="shared" si="8"/>
        <v>-54426</v>
      </c>
      <c r="F69" s="259">
        <f t="shared" si="9"/>
        <v>-0.33377283626573778</v>
      </c>
    </row>
    <row r="70" spans="1:6" ht="20.25" customHeight="1" x14ac:dyDescent="0.3">
      <c r="A70" s="256">
        <v>5</v>
      </c>
      <c r="B70" s="257" t="s">
        <v>381</v>
      </c>
      <c r="C70" s="260">
        <v>44</v>
      </c>
      <c r="D70" s="260">
        <v>35</v>
      </c>
      <c r="E70" s="260">
        <f t="shared" si="8"/>
        <v>-9</v>
      </c>
      <c r="F70" s="259">
        <f t="shared" si="9"/>
        <v>-0.20454545454545456</v>
      </c>
    </row>
    <row r="71" spans="1:6" ht="20.25" customHeight="1" x14ac:dyDescent="0.3">
      <c r="A71" s="256">
        <v>6</v>
      </c>
      <c r="B71" s="257" t="s">
        <v>380</v>
      </c>
      <c r="C71" s="260">
        <v>256</v>
      </c>
      <c r="D71" s="260">
        <v>242</v>
      </c>
      <c r="E71" s="260">
        <f t="shared" si="8"/>
        <v>-14</v>
      </c>
      <c r="F71" s="259">
        <f t="shared" si="9"/>
        <v>-5.46875E-2</v>
      </c>
    </row>
    <row r="72" spans="1:6" ht="20.25" customHeight="1" x14ac:dyDescent="0.3">
      <c r="A72" s="256">
        <v>7</v>
      </c>
      <c r="B72" s="257" t="s">
        <v>445</v>
      </c>
      <c r="C72" s="260">
        <v>316</v>
      </c>
      <c r="D72" s="260">
        <v>105</v>
      </c>
      <c r="E72" s="260">
        <f t="shared" si="8"/>
        <v>-211</v>
      </c>
      <c r="F72" s="259">
        <f t="shared" si="9"/>
        <v>-0.66772151898734178</v>
      </c>
    </row>
    <row r="73" spans="1:6" ht="20.25" customHeight="1" x14ac:dyDescent="0.3">
      <c r="A73" s="256">
        <v>8</v>
      </c>
      <c r="B73" s="257" t="s">
        <v>446</v>
      </c>
      <c r="C73" s="260">
        <v>96</v>
      </c>
      <c r="D73" s="260">
        <v>80</v>
      </c>
      <c r="E73" s="260">
        <f t="shared" si="8"/>
        <v>-16</v>
      </c>
      <c r="F73" s="259">
        <f t="shared" si="9"/>
        <v>-0.16666666666666666</v>
      </c>
    </row>
    <row r="74" spans="1:6" ht="20.25" customHeight="1" x14ac:dyDescent="0.3">
      <c r="A74" s="256">
        <v>9</v>
      </c>
      <c r="B74" s="257" t="s">
        <v>447</v>
      </c>
      <c r="C74" s="260">
        <v>40</v>
      </c>
      <c r="D74" s="260">
        <v>27</v>
      </c>
      <c r="E74" s="260">
        <f t="shared" si="8"/>
        <v>-13</v>
      </c>
      <c r="F74" s="259">
        <f t="shared" si="9"/>
        <v>-0.32500000000000001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1744698</v>
      </c>
      <c r="D75" s="263">
        <f>+D66+D68</f>
        <v>1317313</v>
      </c>
      <c r="E75" s="263">
        <f t="shared" si="8"/>
        <v>-427385</v>
      </c>
      <c r="F75" s="264">
        <f t="shared" si="9"/>
        <v>-0.2449621653718867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608787</v>
      </c>
      <c r="D76" s="263">
        <f>+D67+D69</f>
        <v>436630</v>
      </c>
      <c r="E76" s="263">
        <f t="shared" si="8"/>
        <v>-172157</v>
      </c>
      <c r="F76" s="264">
        <f t="shared" si="9"/>
        <v>-0.28278691890595559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5932061</v>
      </c>
      <c r="D92" s="258">
        <v>5642001</v>
      </c>
      <c r="E92" s="258">
        <f t="shared" ref="E92:E102" si="12">D92-C92</f>
        <v>-290060</v>
      </c>
      <c r="F92" s="259">
        <f t="shared" ref="F92:F102" si="13">IF(C92=0,0,E92/C92)</f>
        <v>-4.8897002239188032E-2</v>
      </c>
    </row>
    <row r="93" spans="1:6" ht="20.25" customHeight="1" x14ac:dyDescent="0.3">
      <c r="A93" s="256">
        <v>2</v>
      </c>
      <c r="B93" s="257" t="s">
        <v>442</v>
      </c>
      <c r="C93" s="258">
        <v>2293705</v>
      </c>
      <c r="D93" s="258">
        <v>2368180</v>
      </c>
      <c r="E93" s="258">
        <f t="shared" si="12"/>
        <v>74475</v>
      </c>
      <c r="F93" s="259">
        <f t="shared" si="13"/>
        <v>3.2469301850063546E-2</v>
      </c>
    </row>
    <row r="94" spans="1:6" ht="20.25" customHeight="1" x14ac:dyDescent="0.3">
      <c r="A94" s="256">
        <v>3</v>
      </c>
      <c r="B94" s="257" t="s">
        <v>443</v>
      </c>
      <c r="C94" s="258">
        <v>6494536</v>
      </c>
      <c r="D94" s="258">
        <v>7744207</v>
      </c>
      <c r="E94" s="258">
        <f t="shared" si="12"/>
        <v>1249671</v>
      </c>
      <c r="F94" s="259">
        <f t="shared" si="13"/>
        <v>0.19241882714946842</v>
      </c>
    </row>
    <row r="95" spans="1:6" ht="20.25" customHeight="1" x14ac:dyDescent="0.3">
      <c r="A95" s="256">
        <v>4</v>
      </c>
      <c r="B95" s="257" t="s">
        <v>444</v>
      </c>
      <c r="C95" s="258">
        <v>1462340</v>
      </c>
      <c r="D95" s="258">
        <v>1769833</v>
      </c>
      <c r="E95" s="258">
        <f t="shared" si="12"/>
        <v>307493</v>
      </c>
      <c r="F95" s="259">
        <f t="shared" si="13"/>
        <v>0.21027462833540764</v>
      </c>
    </row>
    <row r="96" spans="1:6" ht="20.25" customHeight="1" x14ac:dyDescent="0.3">
      <c r="A96" s="256">
        <v>5</v>
      </c>
      <c r="B96" s="257" t="s">
        <v>381</v>
      </c>
      <c r="C96" s="260">
        <v>221</v>
      </c>
      <c r="D96" s="260">
        <v>166</v>
      </c>
      <c r="E96" s="260">
        <f t="shared" si="12"/>
        <v>-55</v>
      </c>
      <c r="F96" s="259">
        <f t="shared" si="13"/>
        <v>-0.24886877828054299</v>
      </c>
    </row>
    <row r="97" spans="1:6" ht="20.25" customHeight="1" x14ac:dyDescent="0.3">
      <c r="A97" s="256">
        <v>6</v>
      </c>
      <c r="B97" s="257" t="s">
        <v>380</v>
      </c>
      <c r="C97" s="260">
        <v>1131</v>
      </c>
      <c r="D97" s="260">
        <v>1072</v>
      </c>
      <c r="E97" s="260">
        <f t="shared" si="12"/>
        <v>-59</v>
      </c>
      <c r="F97" s="259">
        <f t="shared" si="13"/>
        <v>-5.2166224580017684E-2</v>
      </c>
    </row>
    <row r="98" spans="1:6" ht="20.25" customHeight="1" x14ac:dyDescent="0.3">
      <c r="A98" s="256">
        <v>7</v>
      </c>
      <c r="B98" s="257" t="s">
        <v>445</v>
      </c>
      <c r="C98" s="260">
        <v>3752</v>
      </c>
      <c r="D98" s="260">
        <v>3492</v>
      </c>
      <c r="E98" s="260">
        <f t="shared" si="12"/>
        <v>-260</v>
      </c>
      <c r="F98" s="259">
        <f t="shared" si="13"/>
        <v>-6.9296375266524518E-2</v>
      </c>
    </row>
    <row r="99" spans="1:6" ht="20.25" customHeight="1" x14ac:dyDescent="0.3">
      <c r="A99" s="256">
        <v>8</v>
      </c>
      <c r="B99" s="257" t="s">
        <v>446</v>
      </c>
      <c r="C99" s="260">
        <v>383</v>
      </c>
      <c r="D99" s="260">
        <v>588</v>
      </c>
      <c r="E99" s="260">
        <f t="shared" si="12"/>
        <v>205</v>
      </c>
      <c r="F99" s="259">
        <f t="shared" si="13"/>
        <v>0.53524804177545693</v>
      </c>
    </row>
    <row r="100" spans="1:6" ht="20.25" customHeight="1" x14ac:dyDescent="0.3">
      <c r="A100" s="256">
        <v>9</v>
      </c>
      <c r="B100" s="257" t="s">
        <v>447</v>
      </c>
      <c r="C100" s="260">
        <v>171</v>
      </c>
      <c r="D100" s="260">
        <v>126</v>
      </c>
      <c r="E100" s="260">
        <f t="shared" si="12"/>
        <v>-45</v>
      </c>
      <c r="F100" s="259">
        <f t="shared" si="13"/>
        <v>-0.26315789473684209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12426597</v>
      </c>
      <c r="D101" s="263">
        <f>+D92+D94</f>
        <v>13386208</v>
      </c>
      <c r="E101" s="263">
        <f t="shared" si="12"/>
        <v>959611</v>
      </c>
      <c r="F101" s="264">
        <f t="shared" si="13"/>
        <v>7.7222348161769469E-2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3756045</v>
      </c>
      <c r="D102" s="263">
        <f>+D93+D95</f>
        <v>4138013</v>
      </c>
      <c r="E102" s="263">
        <f t="shared" si="12"/>
        <v>381968</v>
      </c>
      <c r="F102" s="264">
        <f t="shared" si="13"/>
        <v>0.10169420227925917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798534</v>
      </c>
      <c r="D118" s="258">
        <v>643050</v>
      </c>
      <c r="E118" s="258">
        <f t="shared" ref="E118:E128" si="16">D118-C118</f>
        <v>-155484</v>
      </c>
      <c r="F118" s="259">
        <f t="shared" ref="F118:F128" si="17">IF(C118=0,0,E118/C118)</f>
        <v>-0.19471180939070848</v>
      </c>
    </row>
    <row r="119" spans="1:6" ht="20.25" customHeight="1" x14ac:dyDescent="0.3">
      <c r="A119" s="256">
        <v>2</v>
      </c>
      <c r="B119" s="257" t="s">
        <v>442</v>
      </c>
      <c r="C119" s="258">
        <v>361245</v>
      </c>
      <c r="D119" s="258">
        <v>349186</v>
      </c>
      <c r="E119" s="258">
        <f t="shared" si="16"/>
        <v>-12059</v>
      </c>
      <c r="F119" s="259">
        <f t="shared" si="17"/>
        <v>-3.3381776910407064E-2</v>
      </c>
    </row>
    <row r="120" spans="1:6" ht="20.25" customHeight="1" x14ac:dyDescent="0.3">
      <c r="A120" s="256">
        <v>3</v>
      </c>
      <c r="B120" s="257" t="s">
        <v>443</v>
      </c>
      <c r="C120" s="258">
        <v>876131</v>
      </c>
      <c r="D120" s="258">
        <v>847828</v>
      </c>
      <c r="E120" s="258">
        <f t="shared" si="16"/>
        <v>-28303</v>
      </c>
      <c r="F120" s="259">
        <f t="shared" si="17"/>
        <v>-3.2304529802050147E-2</v>
      </c>
    </row>
    <row r="121" spans="1:6" ht="20.25" customHeight="1" x14ac:dyDescent="0.3">
      <c r="A121" s="256">
        <v>4</v>
      </c>
      <c r="B121" s="257" t="s">
        <v>444</v>
      </c>
      <c r="C121" s="258">
        <v>203619</v>
      </c>
      <c r="D121" s="258">
        <v>189976</v>
      </c>
      <c r="E121" s="258">
        <f t="shared" si="16"/>
        <v>-13643</v>
      </c>
      <c r="F121" s="259">
        <f t="shared" si="17"/>
        <v>-6.7002588167116031E-2</v>
      </c>
    </row>
    <row r="122" spans="1:6" ht="20.25" customHeight="1" x14ac:dyDescent="0.3">
      <c r="A122" s="256">
        <v>5</v>
      </c>
      <c r="B122" s="257" t="s">
        <v>381</v>
      </c>
      <c r="C122" s="260">
        <v>34</v>
      </c>
      <c r="D122" s="260">
        <v>33</v>
      </c>
      <c r="E122" s="260">
        <f t="shared" si="16"/>
        <v>-1</v>
      </c>
      <c r="F122" s="259">
        <f t="shared" si="17"/>
        <v>-2.9411764705882353E-2</v>
      </c>
    </row>
    <row r="123" spans="1:6" ht="20.25" customHeight="1" x14ac:dyDescent="0.3">
      <c r="A123" s="256">
        <v>6</v>
      </c>
      <c r="B123" s="257" t="s">
        <v>380</v>
      </c>
      <c r="C123" s="260">
        <v>142</v>
      </c>
      <c r="D123" s="260">
        <v>132</v>
      </c>
      <c r="E123" s="260">
        <f t="shared" si="16"/>
        <v>-10</v>
      </c>
      <c r="F123" s="259">
        <f t="shared" si="17"/>
        <v>-7.0422535211267609E-2</v>
      </c>
    </row>
    <row r="124" spans="1:6" ht="20.25" customHeight="1" x14ac:dyDescent="0.3">
      <c r="A124" s="256">
        <v>7</v>
      </c>
      <c r="B124" s="257" t="s">
        <v>445</v>
      </c>
      <c r="C124" s="260">
        <v>556</v>
      </c>
      <c r="D124" s="260">
        <v>621</v>
      </c>
      <c r="E124" s="260">
        <f t="shared" si="16"/>
        <v>65</v>
      </c>
      <c r="F124" s="259">
        <f t="shared" si="17"/>
        <v>0.11690647482014388</v>
      </c>
    </row>
    <row r="125" spans="1:6" ht="20.25" customHeight="1" x14ac:dyDescent="0.3">
      <c r="A125" s="256">
        <v>8</v>
      </c>
      <c r="B125" s="257" t="s">
        <v>446</v>
      </c>
      <c r="C125" s="260">
        <v>45</v>
      </c>
      <c r="D125" s="260">
        <v>67</v>
      </c>
      <c r="E125" s="260">
        <f t="shared" si="16"/>
        <v>22</v>
      </c>
      <c r="F125" s="259">
        <f t="shared" si="17"/>
        <v>0.48888888888888887</v>
      </c>
    </row>
    <row r="126" spans="1:6" ht="20.25" customHeight="1" x14ac:dyDescent="0.3">
      <c r="A126" s="256">
        <v>9</v>
      </c>
      <c r="B126" s="257" t="s">
        <v>447</v>
      </c>
      <c r="C126" s="260">
        <v>28</v>
      </c>
      <c r="D126" s="260">
        <v>27</v>
      </c>
      <c r="E126" s="260">
        <f t="shared" si="16"/>
        <v>-1</v>
      </c>
      <c r="F126" s="259">
        <f t="shared" si="17"/>
        <v>-3.5714285714285712E-2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1674665</v>
      </c>
      <c r="D127" s="263">
        <f>+D118+D120</f>
        <v>1490878</v>
      </c>
      <c r="E127" s="263">
        <f t="shared" si="16"/>
        <v>-183787</v>
      </c>
      <c r="F127" s="264">
        <f t="shared" si="17"/>
        <v>-0.10974553119579139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564864</v>
      </c>
      <c r="D128" s="263">
        <f>+D119+D121</f>
        <v>539162</v>
      </c>
      <c r="E128" s="263">
        <f t="shared" si="16"/>
        <v>-25702</v>
      </c>
      <c r="F128" s="264">
        <f t="shared" si="17"/>
        <v>-4.5501217992295492E-2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32732</v>
      </c>
      <c r="E183" s="258">
        <f t="shared" ref="E183:E193" si="26">D183-C183</f>
        <v>32732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13789</v>
      </c>
      <c r="E184" s="258">
        <f t="shared" si="26"/>
        <v>13789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593</v>
      </c>
      <c r="D185" s="258">
        <v>0</v>
      </c>
      <c r="E185" s="258">
        <f t="shared" si="26"/>
        <v>-593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218</v>
      </c>
      <c r="D186" s="258">
        <v>0</v>
      </c>
      <c r="E186" s="258">
        <f t="shared" si="26"/>
        <v>-218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1</v>
      </c>
      <c r="E187" s="260">
        <f t="shared" si="26"/>
        <v>1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6</v>
      </c>
      <c r="E188" s="260">
        <f t="shared" si="26"/>
        <v>6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1</v>
      </c>
      <c r="D190" s="260">
        <v>0</v>
      </c>
      <c r="E190" s="260">
        <f t="shared" si="26"/>
        <v>-1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1</v>
      </c>
      <c r="E191" s="260">
        <f t="shared" si="26"/>
        <v>1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593</v>
      </c>
      <c r="D192" s="263">
        <f>+D183+D185</f>
        <v>32732</v>
      </c>
      <c r="E192" s="263">
        <f t="shared" si="26"/>
        <v>32139</v>
      </c>
      <c r="F192" s="264">
        <f t="shared" si="27"/>
        <v>54.197301854974704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218</v>
      </c>
      <c r="D193" s="263">
        <f>+D184+D186</f>
        <v>13789</v>
      </c>
      <c r="E193" s="263">
        <f t="shared" si="26"/>
        <v>13571</v>
      </c>
      <c r="F193" s="264">
        <f t="shared" si="27"/>
        <v>62.252293577981654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17328556</v>
      </c>
      <c r="D198" s="263">
        <f t="shared" si="28"/>
        <v>18964070</v>
      </c>
      <c r="E198" s="263">
        <f t="shared" ref="E198:E208" si="29">D198-C198</f>
        <v>1635514</v>
      </c>
      <c r="F198" s="273">
        <f t="shared" ref="F198:F208" si="30">IF(C198=0,0,E198/C198)</f>
        <v>9.4382590216980575E-2</v>
      </c>
    </row>
    <row r="199" spans="1:9" ht="20.25" customHeight="1" x14ac:dyDescent="0.3">
      <c r="A199" s="271"/>
      <c r="B199" s="272" t="s">
        <v>466</v>
      </c>
      <c r="C199" s="263">
        <f t="shared" si="28"/>
        <v>7368069</v>
      </c>
      <c r="D199" s="263">
        <f t="shared" si="28"/>
        <v>7961933</v>
      </c>
      <c r="E199" s="263">
        <f t="shared" si="29"/>
        <v>593864</v>
      </c>
      <c r="F199" s="273">
        <f t="shared" si="30"/>
        <v>8.0599679508973107E-2</v>
      </c>
    </row>
    <row r="200" spans="1:9" ht="20.25" customHeight="1" x14ac:dyDescent="0.3">
      <c r="A200" s="271"/>
      <c r="B200" s="272" t="s">
        <v>467</v>
      </c>
      <c r="C200" s="263">
        <f t="shared" si="28"/>
        <v>24197235</v>
      </c>
      <c r="D200" s="263">
        <f t="shared" si="28"/>
        <v>27390798</v>
      </c>
      <c r="E200" s="263">
        <f t="shared" si="29"/>
        <v>3193563</v>
      </c>
      <c r="F200" s="273">
        <f t="shared" si="30"/>
        <v>0.13198049281250523</v>
      </c>
    </row>
    <row r="201" spans="1:9" ht="20.25" customHeight="1" x14ac:dyDescent="0.3">
      <c r="A201" s="271"/>
      <c r="B201" s="272" t="s">
        <v>468</v>
      </c>
      <c r="C201" s="263">
        <f t="shared" si="28"/>
        <v>5437009</v>
      </c>
      <c r="D201" s="263">
        <f t="shared" si="28"/>
        <v>6256024</v>
      </c>
      <c r="E201" s="263">
        <f t="shared" si="29"/>
        <v>819015</v>
      </c>
      <c r="F201" s="273">
        <f t="shared" si="30"/>
        <v>0.15063705062838778</v>
      </c>
    </row>
    <row r="202" spans="1:9" ht="20.25" customHeight="1" x14ac:dyDescent="0.3">
      <c r="A202" s="271"/>
      <c r="B202" s="272" t="s">
        <v>138</v>
      </c>
      <c r="C202" s="274">
        <f t="shared" si="28"/>
        <v>708</v>
      </c>
      <c r="D202" s="274">
        <f t="shared" si="28"/>
        <v>685</v>
      </c>
      <c r="E202" s="274">
        <f t="shared" si="29"/>
        <v>-23</v>
      </c>
      <c r="F202" s="273">
        <f t="shared" si="30"/>
        <v>-3.2485875706214688E-2</v>
      </c>
    </row>
    <row r="203" spans="1:9" ht="20.25" customHeight="1" x14ac:dyDescent="0.3">
      <c r="A203" s="271"/>
      <c r="B203" s="272" t="s">
        <v>140</v>
      </c>
      <c r="C203" s="274">
        <f t="shared" si="28"/>
        <v>3362</v>
      </c>
      <c r="D203" s="274">
        <f t="shared" si="28"/>
        <v>3666</v>
      </c>
      <c r="E203" s="274">
        <f t="shared" si="29"/>
        <v>304</v>
      </c>
      <c r="F203" s="273">
        <f t="shared" si="30"/>
        <v>9.0422367638310533E-2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15071</v>
      </c>
      <c r="D204" s="274">
        <f t="shared" si="28"/>
        <v>14904</v>
      </c>
      <c r="E204" s="274">
        <f t="shared" si="29"/>
        <v>-167</v>
      </c>
      <c r="F204" s="273">
        <f t="shared" si="30"/>
        <v>-1.108088381660142E-2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1137</v>
      </c>
      <c r="D205" s="274">
        <f t="shared" si="28"/>
        <v>1769</v>
      </c>
      <c r="E205" s="274">
        <f t="shared" si="29"/>
        <v>632</v>
      </c>
      <c r="F205" s="273">
        <f t="shared" si="30"/>
        <v>0.55584872471416003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549</v>
      </c>
      <c r="D206" s="274">
        <f t="shared" si="28"/>
        <v>514</v>
      </c>
      <c r="E206" s="274">
        <f t="shared" si="29"/>
        <v>-35</v>
      </c>
      <c r="F206" s="273">
        <f t="shared" si="30"/>
        <v>-6.3752276867030971E-2</v>
      </c>
    </row>
    <row r="207" spans="1:9" ht="20.25" customHeight="1" x14ac:dyDescent="0.3">
      <c r="A207" s="271"/>
      <c r="B207" s="262" t="s">
        <v>471</v>
      </c>
      <c r="C207" s="263">
        <f>+C198+C200</f>
        <v>41525791</v>
      </c>
      <c r="D207" s="263">
        <f>+D198+D200</f>
        <v>46354868</v>
      </c>
      <c r="E207" s="263">
        <f t="shared" si="29"/>
        <v>4829077</v>
      </c>
      <c r="F207" s="273">
        <f t="shared" si="30"/>
        <v>0.11629102983252022</v>
      </c>
    </row>
    <row r="208" spans="1:9" ht="20.25" customHeight="1" x14ac:dyDescent="0.3">
      <c r="A208" s="271"/>
      <c r="B208" s="262" t="s">
        <v>472</v>
      </c>
      <c r="C208" s="263">
        <f>+C199+C201</f>
        <v>12805078</v>
      </c>
      <c r="D208" s="263">
        <f>+D199+D201</f>
        <v>14217957</v>
      </c>
      <c r="E208" s="263">
        <f t="shared" si="29"/>
        <v>1412879</v>
      </c>
      <c r="F208" s="273">
        <f t="shared" si="30"/>
        <v>0.11033739896000634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FILING&amp;RWILLIAM W. BACKUS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FILING&amp;RWILLIAM W. BACKUS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134555183</v>
      </c>
      <c r="D13" s="22">
        <v>187885111</v>
      </c>
      <c r="E13" s="22">
        <f t="shared" ref="E13:E22" si="0">D13-C13</f>
        <v>53329928</v>
      </c>
      <c r="F13" s="306">
        <f t="shared" ref="F13:F22" si="1">IF(C13=0,0,E13/C13)</f>
        <v>0.39634242851871415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32394182</v>
      </c>
      <c r="D15" s="22">
        <v>38557357</v>
      </c>
      <c r="E15" s="22">
        <f t="shared" si="0"/>
        <v>6163175</v>
      </c>
      <c r="F15" s="306">
        <f t="shared" si="1"/>
        <v>0.1902556144186632</v>
      </c>
    </row>
    <row r="16" spans="1:8" ht="35.1" customHeight="1" x14ac:dyDescent="0.2">
      <c r="A16" s="304">
        <v>4</v>
      </c>
      <c r="B16" s="305" t="s">
        <v>19</v>
      </c>
      <c r="C16" s="22">
        <v>6509778</v>
      </c>
      <c r="D16" s="22">
        <v>3285815</v>
      </c>
      <c r="E16" s="22">
        <f t="shared" si="0"/>
        <v>-3223963</v>
      </c>
      <c r="F16" s="306">
        <f t="shared" si="1"/>
        <v>-0.4952493003601659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2358949</v>
      </c>
      <c r="E17" s="22">
        <f t="shared" si="0"/>
        <v>2358949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3715171</v>
      </c>
      <c r="D19" s="22">
        <v>3771462</v>
      </c>
      <c r="E19" s="22">
        <f t="shared" si="0"/>
        <v>56291</v>
      </c>
      <c r="F19" s="306">
        <f t="shared" si="1"/>
        <v>1.5151657891386425E-2</v>
      </c>
    </row>
    <row r="20" spans="1:11" ht="24" customHeight="1" x14ac:dyDescent="0.2">
      <c r="A20" s="304">
        <v>8</v>
      </c>
      <c r="B20" s="305" t="s">
        <v>23</v>
      </c>
      <c r="C20" s="22">
        <v>3036954</v>
      </c>
      <c r="D20" s="22">
        <v>1671760</v>
      </c>
      <c r="E20" s="22">
        <f t="shared" si="0"/>
        <v>-1365194</v>
      </c>
      <c r="F20" s="306">
        <f t="shared" si="1"/>
        <v>-0.44952738829761663</v>
      </c>
    </row>
    <row r="21" spans="1:11" ht="24" customHeight="1" x14ac:dyDescent="0.2">
      <c r="A21" s="304">
        <v>9</v>
      </c>
      <c r="B21" s="305" t="s">
        <v>24</v>
      </c>
      <c r="C21" s="22">
        <v>29416</v>
      </c>
      <c r="D21" s="22">
        <v>1341254</v>
      </c>
      <c r="E21" s="22">
        <f t="shared" si="0"/>
        <v>1311838</v>
      </c>
      <c r="F21" s="306">
        <f t="shared" si="1"/>
        <v>44.596070165896109</v>
      </c>
    </row>
    <row r="22" spans="1:11" ht="24" customHeight="1" x14ac:dyDescent="0.25">
      <c r="A22" s="307"/>
      <c r="B22" s="308" t="s">
        <v>25</v>
      </c>
      <c r="C22" s="309">
        <f>SUM(C13:C21)</f>
        <v>180240684</v>
      </c>
      <c r="D22" s="309">
        <f>SUM(D13:D21)</f>
        <v>238871708</v>
      </c>
      <c r="E22" s="309">
        <f t="shared" si="0"/>
        <v>58631024</v>
      </c>
      <c r="F22" s="310">
        <f t="shared" si="1"/>
        <v>0.32529295106314621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31846910</v>
      </c>
      <c r="D25" s="22">
        <v>29273515</v>
      </c>
      <c r="E25" s="22">
        <f>D25-C25</f>
        <v>-2573395</v>
      </c>
      <c r="F25" s="306">
        <f>IF(C25=0,0,E25/C25)</f>
        <v>-8.0805170737129603E-2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120134546</v>
      </c>
      <c r="D26" s="22">
        <v>113055613</v>
      </c>
      <c r="E26" s="22">
        <f>D26-C26</f>
        <v>-7078933</v>
      </c>
      <c r="F26" s="306">
        <f>IF(C26=0,0,E26/C26)</f>
        <v>-5.8925040595733384E-2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151981456</v>
      </c>
      <c r="D29" s="309">
        <f>SUM(D25:D28)</f>
        <v>142329128</v>
      </c>
      <c r="E29" s="309">
        <f>D29-C29</f>
        <v>-9652328</v>
      </c>
      <c r="F29" s="310">
        <f>IF(C29=0,0,E29/C29)</f>
        <v>-6.3509906103281444E-2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9918838</v>
      </c>
      <c r="D33" s="22">
        <v>8357721</v>
      </c>
      <c r="E33" s="22">
        <f>D33-C33</f>
        <v>-1561117</v>
      </c>
      <c r="F33" s="306">
        <f>IF(C33=0,0,E33/C33)</f>
        <v>-0.15738910142498547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300499498</v>
      </c>
      <c r="D36" s="22">
        <v>304116125</v>
      </c>
      <c r="E36" s="22">
        <f>D36-C36</f>
        <v>3616627</v>
      </c>
      <c r="F36" s="306">
        <f>IF(C36=0,0,E36/C36)</f>
        <v>1.2035384498379428E-2</v>
      </c>
    </row>
    <row r="37" spans="1:8" ht="24" customHeight="1" x14ac:dyDescent="0.2">
      <c r="A37" s="304">
        <v>2</v>
      </c>
      <c r="B37" s="305" t="s">
        <v>39</v>
      </c>
      <c r="C37" s="22">
        <v>161329064</v>
      </c>
      <c r="D37" s="22">
        <v>175584689</v>
      </c>
      <c r="E37" s="22">
        <f>D37-C37</f>
        <v>14255625</v>
      </c>
      <c r="F37" s="22">
        <f>IF(C37=0,0,E37/C37)</f>
        <v>8.8363650333953464E-2</v>
      </c>
    </row>
    <row r="38" spans="1:8" ht="24" customHeight="1" x14ac:dyDescent="0.25">
      <c r="A38" s="307"/>
      <c r="B38" s="308" t="s">
        <v>40</v>
      </c>
      <c r="C38" s="309">
        <f>C36-C37</f>
        <v>139170434</v>
      </c>
      <c r="D38" s="309">
        <f>D36-D37</f>
        <v>128531436</v>
      </c>
      <c r="E38" s="309">
        <f>D38-C38</f>
        <v>-10638998</v>
      </c>
      <c r="F38" s="310">
        <f>IF(C38=0,0,E38/C38)</f>
        <v>-7.6445820381648016E-2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77152</v>
      </c>
      <c r="D40" s="22">
        <v>185693</v>
      </c>
      <c r="E40" s="22">
        <f>D40-C40</f>
        <v>108541</v>
      </c>
      <c r="F40" s="306">
        <f>IF(C40=0,0,E40/C40)</f>
        <v>1.4068462256325176</v>
      </c>
    </row>
    <row r="41" spans="1:8" ht="24" customHeight="1" x14ac:dyDescent="0.25">
      <c r="A41" s="307"/>
      <c r="B41" s="308" t="s">
        <v>42</v>
      </c>
      <c r="C41" s="309">
        <f>+C38+C40</f>
        <v>139247586</v>
      </c>
      <c r="D41" s="309">
        <f>+D38+D40</f>
        <v>128717129</v>
      </c>
      <c r="E41" s="309">
        <f>D41-C41</f>
        <v>-10530457</v>
      </c>
      <c r="F41" s="310">
        <f>IF(C41=0,0,E41/C41)</f>
        <v>-7.5623982450941735E-2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481388564</v>
      </c>
      <c r="D43" s="309">
        <f>D22+D29+D31+D32+D33+D41</f>
        <v>518275686</v>
      </c>
      <c r="E43" s="309">
        <f>D43-C43</f>
        <v>36887122</v>
      </c>
      <c r="F43" s="310">
        <f>IF(C43=0,0,E43/C43)</f>
        <v>7.6626502494147333E-2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8724922</v>
      </c>
      <c r="D49" s="22">
        <v>8540858</v>
      </c>
      <c r="E49" s="22">
        <f t="shared" ref="E49:E56" si="2">D49-C49</f>
        <v>-184064</v>
      </c>
      <c r="F49" s="306">
        <f t="shared" ref="F49:F56" si="3">IF(C49=0,0,E49/C49)</f>
        <v>-2.1096349056186407E-2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7952285</v>
      </c>
      <c r="D50" s="22">
        <v>9007281</v>
      </c>
      <c r="E50" s="22">
        <f t="shared" si="2"/>
        <v>1054996</v>
      </c>
      <c r="F50" s="306">
        <f t="shared" si="3"/>
        <v>0.13266576839235517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2074028</v>
      </c>
      <c r="D51" s="22">
        <v>8663714</v>
      </c>
      <c r="E51" s="22">
        <f t="shared" si="2"/>
        <v>6589686</v>
      </c>
      <c r="F51" s="306">
        <f t="shared" si="3"/>
        <v>3.177240615845109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2865926</v>
      </c>
      <c r="E52" s="22">
        <f t="shared" si="2"/>
        <v>2865926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2120000</v>
      </c>
      <c r="D53" s="22">
        <v>0</v>
      </c>
      <c r="E53" s="22">
        <f t="shared" si="2"/>
        <v>-2120000</v>
      </c>
      <c r="F53" s="306">
        <f t="shared" si="3"/>
        <v>-1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323472</v>
      </c>
      <c r="D54" s="22">
        <v>399818</v>
      </c>
      <c r="E54" s="22">
        <f t="shared" si="2"/>
        <v>76346</v>
      </c>
      <c r="F54" s="306">
        <f t="shared" si="3"/>
        <v>0.23602042835237672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10130690</v>
      </c>
      <c r="D55" s="22">
        <v>11816646</v>
      </c>
      <c r="E55" s="22">
        <f t="shared" si="2"/>
        <v>1685956</v>
      </c>
      <c r="F55" s="306">
        <f t="shared" si="3"/>
        <v>0.16642064854417615</v>
      </c>
    </row>
    <row r="56" spans="1:6" ht="24" customHeight="1" x14ac:dyDescent="0.25">
      <c r="A56" s="307"/>
      <c r="B56" s="308" t="s">
        <v>54</v>
      </c>
      <c r="C56" s="309">
        <f>SUM(C49:C55)</f>
        <v>31325397</v>
      </c>
      <c r="D56" s="309">
        <f>SUM(D49:D55)</f>
        <v>41294243</v>
      </c>
      <c r="E56" s="309">
        <f t="shared" si="2"/>
        <v>9968846</v>
      </c>
      <c r="F56" s="310">
        <f t="shared" si="3"/>
        <v>0.31823526450438921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59885476</v>
      </c>
      <c r="D59" s="22">
        <v>58784343</v>
      </c>
      <c r="E59" s="22">
        <f>D59-C59</f>
        <v>-1101133</v>
      </c>
      <c r="F59" s="306">
        <f>IF(C59=0,0,E59/C59)</f>
        <v>-1.8387313144175393E-2</v>
      </c>
    </row>
    <row r="60" spans="1:6" ht="24" customHeight="1" x14ac:dyDescent="0.2">
      <c r="A60" s="304">
        <v>2</v>
      </c>
      <c r="B60" s="305" t="s">
        <v>57</v>
      </c>
      <c r="C60" s="22">
        <v>7308056</v>
      </c>
      <c r="D60" s="22">
        <v>9415367</v>
      </c>
      <c r="E60" s="22">
        <f>D60-C60</f>
        <v>2107311</v>
      </c>
      <c r="F60" s="306">
        <f>IF(C60=0,0,E60/C60)</f>
        <v>0.28835452273491063</v>
      </c>
    </row>
    <row r="61" spans="1:6" ht="24" customHeight="1" x14ac:dyDescent="0.25">
      <c r="A61" s="307"/>
      <c r="B61" s="308" t="s">
        <v>58</v>
      </c>
      <c r="C61" s="309">
        <f>SUM(C59:C60)</f>
        <v>67193532</v>
      </c>
      <c r="D61" s="309">
        <f>SUM(D59:D60)</f>
        <v>68199710</v>
      </c>
      <c r="E61" s="309">
        <f>D61-C61</f>
        <v>1006178</v>
      </c>
      <c r="F61" s="310">
        <f>IF(C61=0,0,E61/C61)</f>
        <v>1.4974328183849601E-2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18267625</v>
      </c>
      <c r="D63" s="22">
        <v>38600633</v>
      </c>
      <c r="E63" s="22">
        <f>D63-C63</f>
        <v>20333008</v>
      </c>
      <c r="F63" s="306">
        <f>IF(C63=0,0,E63/C63)</f>
        <v>1.1130624807548875</v>
      </c>
    </row>
    <row r="64" spans="1:6" ht="24" customHeight="1" x14ac:dyDescent="0.2">
      <c r="A64" s="304">
        <v>4</v>
      </c>
      <c r="B64" s="305" t="s">
        <v>60</v>
      </c>
      <c r="C64" s="22">
        <v>37296449</v>
      </c>
      <c r="D64" s="22">
        <v>13378386</v>
      </c>
      <c r="E64" s="22">
        <f>D64-C64</f>
        <v>-23918063</v>
      </c>
      <c r="F64" s="306">
        <f>IF(C64=0,0,E64/C64)</f>
        <v>-0.64129598504136409</v>
      </c>
    </row>
    <row r="65" spans="1:6" ht="24" customHeight="1" x14ac:dyDescent="0.25">
      <c r="A65" s="307"/>
      <c r="B65" s="308" t="s">
        <v>61</v>
      </c>
      <c r="C65" s="309">
        <f>SUM(C61:C64)</f>
        <v>122757606</v>
      </c>
      <c r="D65" s="309">
        <f>SUM(D61:D64)</f>
        <v>120178729</v>
      </c>
      <c r="E65" s="309">
        <f>D65-C65</f>
        <v>-2578877</v>
      </c>
      <c r="F65" s="310">
        <f>IF(C65=0,0,E65/C65)</f>
        <v>-2.1007879544343671E-2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315932503</v>
      </c>
      <c r="D70" s="22">
        <v>344915268</v>
      </c>
      <c r="E70" s="22">
        <f>D70-C70</f>
        <v>28982765</v>
      </c>
      <c r="F70" s="306">
        <f>IF(C70=0,0,E70/C70)</f>
        <v>9.1737205652436468E-2</v>
      </c>
    </row>
    <row r="71" spans="1:6" ht="24" customHeight="1" x14ac:dyDescent="0.2">
      <c r="A71" s="304">
        <v>2</v>
      </c>
      <c r="B71" s="305" t="s">
        <v>65</v>
      </c>
      <c r="C71" s="22">
        <v>3305592</v>
      </c>
      <c r="D71" s="22">
        <v>3534497</v>
      </c>
      <c r="E71" s="22">
        <f>D71-C71</f>
        <v>228905</v>
      </c>
      <c r="F71" s="306">
        <f>IF(C71=0,0,E71/C71)</f>
        <v>6.9247807956940841E-2</v>
      </c>
    </row>
    <row r="72" spans="1:6" ht="24" customHeight="1" x14ac:dyDescent="0.2">
      <c r="A72" s="304">
        <v>3</v>
      </c>
      <c r="B72" s="305" t="s">
        <v>66</v>
      </c>
      <c r="C72" s="22">
        <v>8067466</v>
      </c>
      <c r="D72" s="22">
        <v>8352949</v>
      </c>
      <c r="E72" s="22">
        <f>D72-C72</f>
        <v>285483</v>
      </c>
      <c r="F72" s="306">
        <f>IF(C72=0,0,E72/C72)</f>
        <v>3.5386948020605234E-2</v>
      </c>
    </row>
    <row r="73" spans="1:6" ht="24" customHeight="1" x14ac:dyDescent="0.25">
      <c r="A73" s="304"/>
      <c r="B73" s="308" t="s">
        <v>67</v>
      </c>
      <c r="C73" s="309">
        <f>SUM(C70:C72)</f>
        <v>327305561</v>
      </c>
      <c r="D73" s="309">
        <f>SUM(D70:D72)</f>
        <v>356802714</v>
      </c>
      <c r="E73" s="309">
        <f>D73-C73</f>
        <v>29497153</v>
      </c>
      <c r="F73" s="310">
        <f>IF(C73=0,0,E73/C73)</f>
        <v>9.0121148292986078E-2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481388564</v>
      </c>
      <c r="D75" s="309">
        <f>D56+D65+D67+D73</f>
        <v>518275686</v>
      </c>
      <c r="E75" s="309">
        <f>D75-C75</f>
        <v>36887122</v>
      </c>
      <c r="F75" s="310">
        <f>IF(C75=0,0,E75/C75)</f>
        <v>7.6626502494147333E-2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FILING&amp;RBACKUS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676269899</v>
      </c>
      <c r="D11" s="76">
        <v>732620316</v>
      </c>
      <c r="E11" s="76">
        <f t="shared" ref="E11:E20" si="0">D11-C11</f>
        <v>56350417</v>
      </c>
      <c r="F11" s="77">
        <f t="shared" ref="F11:F20" si="1">IF(C11=0,0,E11/C11)</f>
        <v>8.3325336649354556E-2</v>
      </c>
    </row>
    <row r="12" spans="1:7" ht="23.1" customHeight="1" x14ac:dyDescent="0.2">
      <c r="A12" s="74">
        <v>2</v>
      </c>
      <c r="B12" s="75" t="s">
        <v>72</v>
      </c>
      <c r="C12" s="76">
        <v>378041108</v>
      </c>
      <c r="D12" s="76">
        <v>409557356</v>
      </c>
      <c r="E12" s="76">
        <f t="shared" si="0"/>
        <v>31516248</v>
      </c>
      <c r="F12" s="77">
        <f t="shared" si="1"/>
        <v>8.3367251161479514E-2</v>
      </c>
    </row>
    <row r="13" spans="1:7" ht="23.1" customHeight="1" x14ac:dyDescent="0.2">
      <c r="A13" s="74">
        <v>3</v>
      </c>
      <c r="B13" s="75" t="s">
        <v>73</v>
      </c>
      <c r="C13" s="76">
        <v>5791068</v>
      </c>
      <c r="D13" s="76">
        <v>5263975</v>
      </c>
      <c r="E13" s="76">
        <f t="shared" si="0"/>
        <v>-527093</v>
      </c>
      <c r="F13" s="77">
        <f t="shared" si="1"/>
        <v>-9.1018271586519095E-2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292437723</v>
      </c>
      <c r="D15" s="79">
        <f>D11-D12-D13-D14</f>
        <v>317798985</v>
      </c>
      <c r="E15" s="79">
        <f t="shared" si="0"/>
        <v>25361262</v>
      </c>
      <c r="F15" s="80">
        <f t="shared" si="1"/>
        <v>8.6723633804247607E-2</v>
      </c>
    </row>
    <row r="16" spans="1:7" ht="23.1" customHeight="1" x14ac:dyDescent="0.2">
      <c r="A16" s="74">
        <v>5</v>
      </c>
      <c r="B16" s="75" t="s">
        <v>76</v>
      </c>
      <c r="C16" s="76">
        <v>8614637</v>
      </c>
      <c r="D16" s="76">
        <v>8520064</v>
      </c>
      <c r="E16" s="76">
        <f t="shared" si="0"/>
        <v>-94573</v>
      </c>
      <c r="F16" s="77">
        <f t="shared" si="1"/>
        <v>-1.0978175865100293E-2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283823086</v>
      </c>
      <c r="D17" s="79">
        <f>D15-D16</f>
        <v>309278921</v>
      </c>
      <c r="E17" s="79">
        <f t="shared" si="0"/>
        <v>25455835</v>
      </c>
      <c r="F17" s="80">
        <f t="shared" si="1"/>
        <v>8.9689092451062991E-2</v>
      </c>
    </row>
    <row r="18" spans="1:7" ht="23.1" customHeight="1" x14ac:dyDescent="0.2">
      <c r="A18" s="74">
        <v>6</v>
      </c>
      <c r="B18" s="75" t="s">
        <v>78</v>
      </c>
      <c r="C18" s="76">
        <v>6932861</v>
      </c>
      <c r="D18" s="76">
        <v>8779703</v>
      </c>
      <c r="E18" s="76">
        <f t="shared" si="0"/>
        <v>1846842</v>
      </c>
      <c r="F18" s="77">
        <f t="shared" si="1"/>
        <v>0.26638959009851776</v>
      </c>
      <c r="G18" s="65"/>
    </row>
    <row r="19" spans="1:7" ht="33" customHeight="1" x14ac:dyDescent="0.2">
      <c r="A19" s="74">
        <v>7</v>
      </c>
      <c r="B19" s="82" t="s">
        <v>79</v>
      </c>
      <c r="C19" s="76">
        <v>245584</v>
      </c>
      <c r="D19" s="76">
        <v>287246</v>
      </c>
      <c r="E19" s="76">
        <f t="shared" si="0"/>
        <v>41662</v>
      </c>
      <c r="F19" s="77">
        <f t="shared" si="1"/>
        <v>0.16964460225421851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291001531</v>
      </c>
      <c r="D20" s="79">
        <f>SUM(D17:D19)</f>
        <v>318345870</v>
      </c>
      <c r="E20" s="79">
        <f t="shared" si="0"/>
        <v>27344339</v>
      </c>
      <c r="F20" s="80">
        <f t="shared" si="1"/>
        <v>9.396630631472519E-2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126715950</v>
      </c>
      <c r="D23" s="76">
        <v>122973389</v>
      </c>
      <c r="E23" s="76">
        <f t="shared" ref="E23:E32" si="2">D23-C23</f>
        <v>-3742561</v>
      </c>
      <c r="F23" s="77">
        <f t="shared" ref="F23:F32" si="3">IF(C23=0,0,E23/C23)</f>
        <v>-2.953504274718376E-2</v>
      </c>
    </row>
    <row r="24" spans="1:7" ht="23.1" customHeight="1" x14ac:dyDescent="0.2">
      <c r="A24" s="74">
        <v>2</v>
      </c>
      <c r="B24" s="75" t="s">
        <v>83</v>
      </c>
      <c r="C24" s="76">
        <v>29377898</v>
      </c>
      <c r="D24" s="76">
        <v>21292907</v>
      </c>
      <c r="E24" s="76">
        <f t="shared" si="2"/>
        <v>-8084991</v>
      </c>
      <c r="F24" s="77">
        <f t="shared" si="3"/>
        <v>-0.27520658557668082</v>
      </c>
    </row>
    <row r="25" spans="1:7" ht="23.1" customHeight="1" x14ac:dyDescent="0.2">
      <c r="A25" s="74">
        <v>3</v>
      </c>
      <c r="B25" s="75" t="s">
        <v>84</v>
      </c>
      <c r="C25" s="76">
        <v>1727329</v>
      </c>
      <c r="D25" s="76">
        <v>2624355</v>
      </c>
      <c r="E25" s="76">
        <f t="shared" si="2"/>
        <v>897026</v>
      </c>
      <c r="F25" s="77">
        <f t="shared" si="3"/>
        <v>0.51931392340428484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37425891</v>
      </c>
      <c r="D26" s="76">
        <v>40065954</v>
      </c>
      <c r="E26" s="76">
        <f t="shared" si="2"/>
        <v>2640063</v>
      </c>
      <c r="F26" s="77">
        <f t="shared" si="3"/>
        <v>7.0541086116025942E-2</v>
      </c>
    </row>
    <row r="27" spans="1:7" ht="23.1" customHeight="1" x14ac:dyDescent="0.2">
      <c r="A27" s="74">
        <v>5</v>
      </c>
      <c r="B27" s="75" t="s">
        <v>86</v>
      </c>
      <c r="C27" s="76">
        <v>15619649</v>
      </c>
      <c r="D27" s="76">
        <v>15759885</v>
      </c>
      <c r="E27" s="76">
        <f t="shared" si="2"/>
        <v>140236</v>
      </c>
      <c r="F27" s="77">
        <f t="shared" si="3"/>
        <v>8.9781787029913421E-3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3375173</v>
      </c>
      <c r="D29" s="76">
        <v>2992001</v>
      </c>
      <c r="E29" s="76">
        <f t="shared" si="2"/>
        <v>-383172</v>
      </c>
      <c r="F29" s="77">
        <f t="shared" si="3"/>
        <v>-0.11352662515373287</v>
      </c>
    </row>
    <row r="30" spans="1:7" ht="23.1" customHeight="1" x14ac:dyDescent="0.2">
      <c r="A30" s="74">
        <v>8</v>
      </c>
      <c r="B30" s="75" t="s">
        <v>89</v>
      </c>
      <c r="C30" s="76">
        <v>4367489</v>
      </c>
      <c r="D30" s="76">
        <v>1382002</v>
      </c>
      <c r="E30" s="76">
        <f t="shared" si="2"/>
        <v>-2985487</v>
      </c>
      <c r="F30" s="77">
        <f t="shared" si="3"/>
        <v>-0.68357058254754621</v>
      </c>
    </row>
    <row r="31" spans="1:7" ht="23.1" customHeight="1" x14ac:dyDescent="0.2">
      <c r="A31" s="74">
        <v>9</v>
      </c>
      <c r="B31" s="75" t="s">
        <v>90</v>
      </c>
      <c r="C31" s="76">
        <v>49350343</v>
      </c>
      <c r="D31" s="76">
        <v>66805543</v>
      </c>
      <c r="E31" s="76">
        <f t="shared" si="2"/>
        <v>17455200</v>
      </c>
      <c r="F31" s="77">
        <f t="shared" si="3"/>
        <v>0.35369966932144725</v>
      </c>
    </row>
    <row r="32" spans="1:7" ht="23.1" customHeight="1" x14ac:dyDescent="0.25">
      <c r="A32" s="71"/>
      <c r="B32" s="78" t="s">
        <v>91</v>
      </c>
      <c r="C32" s="79">
        <f>SUM(C23:C31)</f>
        <v>267959722</v>
      </c>
      <c r="D32" s="79">
        <f>SUM(D23:D31)</f>
        <v>273896036</v>
      </c>
      <c r="E32" s="79">
        <f t="shared" si="2"/>
        <v>5936314</v>
      </c>
      <c r="F32" s="80">
        <f t="shared" si="3"/>
        <v>2.2153754884101574E-2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23041809</v>
      </c>
      <c r="D34" s="79">
        <f>+D20-D32</f>
        <v>44449834</v>
      </c>
      <c r="E34" s="79">
        <f>D34-C34</f>
        <v>21408025</v>
      </c>
      <c r="F34" s="80">
        <f>IF(C34=0,0,E34/C34)</f>
        <v>0.9290948032769476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6398267</v>
      </c>
      <c r="D37" s="76">
        <v>10575604</v>
      </c>
      <c r="E37" s="76">
        <f>D37-C37</f>
        <v>4177337</v>
      </c>
      <c r="F37" s="77">
        <f>IF(C37=0,0,E37/C37)</f>
        <v>0.6528856954547223</v>
      </c>
    </row>
    <row r="38" spans="1:6" ht="23.1" customHeight="1" x14ac:dyDescent="0.2">
      <c r="A38" s="85">
        <v>2</v>
      </c>
      <c r="B38" s="75" t="s">
        <v>95</v>
      </c>
      <c r="C38" s="76">
        <v>137640</v>
      </c>
      <c r="D38" s="76">
        <v>222728</v>
      </c>
      <c r="E38" s="76">
        <f>D38-C38</f>
        <v>85088</v>
      </c>
      <c r="F38" s="77">
        <f>IF(C38=0,0,E38/C38)</f>
        <v>0.61819238593432146</v>
      </c>
    </row>
    <row r="39" spans="1:6" ht="23.1" customHeight="1" x14ac:dyDescent="0.2">
      <c r="A39" s="85">
        <v>3</v>
      </c>
      <c r="B39" s="75" t="s">
        <v>96</v>
      </c>
      <c r="C39" s="76">
        <v>-152861</v>
      </c>
      <c r="D39" s="76">
        <v>-190849</v>
      </c>
      <c r="E39" s="76">
        <f>D39-C39</f>
        <v>-37988</v>
      </c>
      <c r="F39" s="77">
        <f>IF(C39=0,0,E39/C39)</f>
        <v>0.2485133552704745</v>
      </c>
    </row>
    <row r="40" spans="1:6" ht="23.1" customHeight="1" x14ac:dyDescent="0.25">
      <c r="A40" s="83"/>
      <c r="B40" s="78" t="s">
        <v>97</v>
      </c>
      <c r="C40" s="79">
        <f>SUM(C37:C39)</f>
        <v>6383046</v>
      </c>
      <c r="D40" s="79">
        <f>SUM(D37:D39)</f>
        <v>10607483</v>
      </c>
      <c r="E40" s="79">
        <f>D40-C40</f>
        <v>4224437</v>
      </c>
      <c r="F40" s="80">
        <f>IF(C40=0,0,E40/C40)</f>
        <v>0.66182148773485261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29424855</v>
      </c>
      <c r="D42" s="79">
        <f>D34+D40</f>
        <v>55057317</v>
      </c>
      <c r="E42" s="79">
        <f>D42-C42</f>
        <v>25632462</v>
      </c>
      <c r="F42" s="80">
        <f>IF(C42=0,0,E42/C42)</f>
        <v>0.87111600040170123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5113161</v>
      </c>
      <c r="D45" s="76">
        <v>604064</v>
      </c>
      <c r="E45" s="76">
        <f>D45-C45</f>
        <v>-4509097</v>
      </c>
      <c r="F45" s="77">
        <f>IF(C45=0,0,E45/C45)</f>
        <v>-0.88186094668249249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5113161</v>
      </c>
      <c r="D47" s="79">
        <f>SUM(D45:D46)</f>
        <v>604064</v>
      </c>
      <c r="E47" s="79">
        <f>D47-C47</f>
        <v>-4509097</v>
      </c>
      <c r="F47" s="80">
        <f>IF(C47=0,0,E47/C47)</f>
        <v>-0.88186094668249249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34538016</v>
      </c>
      <c r="D49" s="79">
        <f>D42+D47</f>
        <v>55661381</v>
      </c>
      <c r="E49" s="79">
        <f>D49-C49</f>
        <v>21123365</v>
      </c>
      <c r="F49" s="80">
        <f>IF(C49=0,0,E49/C49)</f>
        <v>0.61159752198852413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FILING&amp;R&amp;8BACKUS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2015-07-16T18:38:32Z</cp:lastPrinted>
  <dcterms:created xsi:type="dcterms:W3CDTF">2015-07-16T18:35:34Z</dcterms:created>
  <dcterms:modified xsi:type="dcterms:W3CDTF">2015-07-16T18:39:07Z</dcterms:modified>
</cp:coreProperties>
</file>