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 s="1"/>
  <c r="E92" i="22"/>
  <c r="D92" i="22"/>
  <c r="C92" i="22"/>
  <c r="E91" i="22"/>
  <c r="E93" i="22"/>
  <c r="D91" i="22"/>
  <c r="D93" i="22" s="1"/>
  <c r="C91" i="22"/>
  <c r="C93" i="22" s="1"/>
  <c r="E87" i="22"/>
  <c r="D87" i="22"/>
  <c r="C87" i="22"/>
  <c r="E86" i="22"/>
  <c r="E88" i="22" s="1"/>
  <c r="D86" i="22"/>
  <c r="D88" i="22" s="1"/>
  <c r="C86" i="22"/>
  <c r="C88" i="22" s="1"/>
  <c r="E83" i="22"/>
  <c r="E101" i="22" s="1"/>
  <c r="D83" i="22"/>
  <c r="D102" i="22" s="1"/>
  <c r="C83" i="22"/>
  <c r="C101" i="22" s="1"/>
  <c r="C103" i="22" s="1"/>
  <c r="E76" i="22"/>
  <c r="D76" i="22"/>
  <c r="C76" i="22"/>
  <c r="E75" i="22"/>
  <c r="E77" i="22"/>
  <c r="D75" i="22"/>
  <c r="D77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 s="1"/>
  <c r="E21" i="22"/>
  <c r="D21" i="22"/>
  <c r="C21" i="22"/>
  <c r="E12" i="22"/>
  <c r="E33" i="22" s="1"/>
  <c r="D12" i="22"/>
  <c r="D34" i="22"/>
  <c r="C12" i="22"/>
  <c r="C33" i="22"/>
  <c r="D21" i="21"/>
  <c r="E21" i="21" s="1"/>
  <c r="F21" i="21" s="1"/>
  <c r="C21" i="21"/>
  <c r="D19" i="21"/>
  <c r="C19" i="21"/>
  <c r="E19" i="21" s="1"/>
  <c r="F17" i="21"/>
  <c r="E17" i="21"/>
  <c r="F15" i="21"/>
  <c r="E15" i="21"/>
  <c r="D45" i="20"/>
  <c r="C45" i="20"/>
  <c r="E45" i="20" s="1"/>
  <c r="D44" i="20"/>
  <c r="E44" i="20" s="1"/>
  <c r="F44" i="20" s="1"/>
  <c r="C44" i="20"/>
  <c r="D43" i="20"/>
  <c r="D46" i="20"/>
  <c r="C43" i="20"/>
  <c r="C46" i="20"/>
  <c r="D36" i="20"/>
  <c r="D40" i="20" s="1"/>
  <c r="C36" i="20"/>
  <c r="C40" i="20" s="1"/>
  <c r="E35" i="20"/>
  <c r="F35" i="20" s="1"/>
  <c r="E34" i="20"/>
  <c r="E36" i="20" s="1"/>
  <c r="F33" i="20"/>
  <c r="E33" i="20"/>
  <c r="E30" i="20"/>
  <c r="F30" i="20" s="1"/>
  <c r="E29" i="20"/>
  <c r="F29" i="20" s="1"/>
  <c r="F28" i="20"/>
  <c r="E28" i="20"/>
  <c r="F27" i="20"/>
  <c r="E27" i="20"/>
  <c r="D25" i="20"/>
  <c r="D39" i="20"/>
  <c r="C25" i="20"/>
  <c r="C39" i="20"/>
  <c r="F24" i="20"/>
  <c r="E24" i="20"/>
  <c r="F23" i="20"/>
  <c r="E23" i="20"/>
  <c r="E22" i="20"/>
  <c r="F22" i="20" s="1"/>
  <c r="D19" i="20"/>
  <c r="D20" i="20" s="1"/>
  <c r="E20" i="20" s="1"/>
  <c r="F20" i="20" s="1"/>
  <c r="C19" i="20"/>
  <c r="C20" i="20" s="1"/>
  <c r="E18" i="20"/>
  <c r="F18" i="20" s="1"/>
  <c r="D16" i="20"/>
  <c r="E16" i="20"/>
  <c r="F16" i="20" s="1"/>
  <c r="C16" i="20"/>
  <c r="F15" i="20"/>
  <c r="E15" i="20"/>
  <c r="E13" i="20"/>
  <c r="F13" i="20" s="1"/>
  <c r="E12" i="20"/>
  <c r="F12" i="20" s="1"/>
  <c r="C115" i="19"/>
  <c r="C105" i="19"/>
  <c r="C137" i="19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64" i="19" s="1"/>
  <c r="C36" i="19"/>
  <c r="C32" i="19"/>
  <c r="C33" i="19" s="1"/>
  <c r="C21" i="19"/>
  <c r="C37" i="19"/>
  <c r="E328" i="18"/>
  <c r="E325" i="18"/>
  <c r="D324" i="18"/>
  <c r="E324" i="18" s="1"/>
  <c r="C324" i="18"/>
  <c r="C326" i="18" s="1"/>
  <c r="C330" i="18" s="1"/>
  <c r="E318" i="18"/>
  <c r="E315" i="18"/>
  <c r="D314" i="18"/>
  <c r="D316" i="18" s="1"/>
  <c r="C314" i="18"/>
  <c r="C316" i="18"/>
  <c r="C320" i="18" s="1"/>
  <c r="E308" i="18"/>
  <c r="E305" i="18"/>
  <c r="D301" i="18"/>
  <c r="D303" i="18"/>
  <c r="C301" i="18"/>
  <c r="D293" i="18"/>
  <c r="E293" i="18"/>
  <c r="C293" i="18"/>
  <c r="D292" i="18"/>
  <c r="C292" i="18"/>
  <c r="E292" i="18" s="1"/>
  <c r="D291" i="18"/>
  <c r="E291" i="18" s="1"/>
  <c r="C291" i="18"/>
  <c r="D290" i="18"/>
  <c r="E290" i="18" s="1"/>
  <c r="C290" i="18"/>
  <c r="D288" i="18"/>
  <c r="C288" i="18"/>
  <c r="E288" i="18"/>
  <c r="D287" i="18"/>
  <c r="E287" i="18" s="1"/>
  <c r="C287" i="18"/>
  <c r="D282" i="18"/>
  <c r="C282" i="18"/>
  <c r="E282" i="18"/>
  <c r="D281" i="18"/>
  <c r="E281" i="18"/>
  <c r="C281" i="18"/>
  <c r="D280" i="18"/>
  <c r="C280" i="18"/>
  <c r="E280" i="18" s="1"/>
  <c r="D279" i="18"/>
  <c r="E279" i="18"/>
  <c r="C279" i="18"/>
  <c r="D278" i="18"/>
  <c r="E278" i="18" s="1"/>
  <c r="C278" i="18"/>
  <c r="D277" i="18"/>
  <c r="E277" i="18" s="1"/>
  <c r="C277" i="18"/>
  <c r="D276" i="18"/>
  <c r="C276" i="18"/>
  <c r="E276" i="18"/>
  <c r="E270" i="18"/>
  <c r="D265" i="18"/>
  <c r="D302" i="18"/>
  <c r="C265" i="18"/>
  <c r="C302" i="18" s="1"/>
  <c r="D262" i="18"/>
  <c r="C262" i="18"/>
  <c r="E262" i="18"/>
  <c r="D251" i="18"/>
  <c r="C251" i="18"/>
  <c r="D233" i="18"/>
  <c r="C233" i="18"/>
  <c r="D232" i="18"/>
  <c r="E232" i="18"/>
  <c r="C232" i="18"/>
  <c r="D231" i="18"/>
  <c r="E231" i="18" s="1"/>
  <c r="C231" i="18"/>
  <c r="D230" i="18"/>
  <c r="E230" i="18" s="1"/>
  <c r="C230" i="18"/>
  <c r="D228" i="18"/>
  <c r="E228" i="18" s="1"/>
  <c r="C228" i="18"/>
  <c r="D227" i="18"/>
  <c r="E227" i="18" s="1"/>
  <c r="C227" i="18"/>
  <c r="D221" i="18"/>
  <c r="D245" i="18" s="1"/>
  <c r="C221" i="18"/>
  <c r="C245" i="18" s="1"/>
  <c r="C253" i="18" s="1"/>
  <c r="D220" i="18"/>
  <c r="D244" i="18" s="1"/>
  <c r="E244" i="18" s="1"/>
  <c r="C220" i="18"/>
  <c r="C244" i="18"/>
  <c r="D219" i="18"/>
  <c r="D243" i="18" s="1"/>
  <c r="C219" i="18"/>
  <c r="C243" i="18" s="1"/>
  <c r="D218" i="18"/>
  <c r="D242" i="18" s="1"/>
  <c r="C218" i="18"/>
  <c r="C242" i="18"/>
  <c r="D216" i="18"/>
  <c r="D240" i="18"/>
  <c r="E240" i="18" s="1"/>
  <c r="C216" i="18"/>
  <c r="C240" i="18" s="1"/>
  <c r="D215" i="18"/>
  <c r="D239" i="18"/>
  <c r="E239" i="18" s="1"/>
  <c r="C215" i="18"/>
  <c r="C239" i="18"/>
  <c r="D210" i="18"/>
  <c r="E209" i="18"/>
  <c r="E208" i="18"/>
  <c r="E207" i="18"/>
  <c r="E206" i="18"/>
  <c r="D205" i="18"/>
  <c r="D229" i="18" s="1"/>
  <c r="C205" i="18"/>
  <c r="C229" i="18" s="1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 s="1"/>
  <c r="D177" i="18"/>
  <c r="E177" i="18" s="1"/>
  <c r="C177" i="18"/>
  <c r="D176" i="18"/>
  <c r="E176" i="18" s="1"/>
  <c r="C176" i="18"/>
  <c r="D174" i="18"/>
  <c r="C174" i="18"/>
  <c r="E174" i="18"/>
  <c r="D173" i="18"/>
  <c r="E173" i="18" s="1"/>
  <c r="C173" i="18"/>
  <c r="D167" i="18"/>
  <c r="C167" i="18"/>
  <c r="E167" i="18"/>
  <c r="D166" i="18"/>
  <c r="E166" i="18"/>
  <c r="C166" i="18"/>
  <c r="D165" i="18"/>
  <c r="C165" i="18"/>
  <c r="E165" i="18" s="1"/>
  <c r="D164" i="18"/>
  <c r="E164" i="18"/>
  <c r="C164" i="18"/>
  <c r="D162" i="18"/>
  <c r="E162" i="18" s="1"/>
  <c r="C162" i="18"/>
  <c r="D161" i="18"/>
  <c r="E161" i="18" s="1"/>
  <c r="C161" i="18"/>
  <c r="E155" i="18"/>
  <c r="E154" i="18"/>
  <c r="E153" i="18"/>
  <c r="E152" i="18"/>
  <c r="D151" i="18"/>
  <c r="D156" i="18" s="1"/>
  <c r="C151" i="18"/>
  <c r="C156" i="18" s="1"/>
  <c r="C157" i="18" s="1"/>
  <c r="E150" i="18"/>
  <c r="E149" i="18"/>
  <c r="E143" i="18"/>
  <c r="E142" i="18"/>
  <c r="E141" i="18"/>
  <c r="E140" i="18"/>
  <c r="D139" i="18"/>
  <c r="D144" i="18" s="1"/>
  <c r="D168" i="18" s="1"/>
  <c r="D175" i="18"/>
  <c r="C139" i="18"/>
  <c r="C163" i="18" s="1"/>
  <c r="E138" i="18"/>
  <c r="E137" i="18"/>
  <c r="D75" i="18"/>
  <c r="E75" i="18"/>
  <c r="C75" i="18"/>
  <c r="D74" i="18"/>
  <c r="E74" i="18" s="1"/>
  <c r="C74" i="18"/>
  <c r="D73" i="18"/>
  <c r="E73" i="18" s="1"/>
  <c r="C73" i="18"/>
  <c r="D72" i="18"/>
  <c r="C72" i="18"/>
  <c r="E72" i="18"/>
  <c r="D70" i="18"/>
  <c r="C70" i="18"/>
  <c r="D69" i="18"/>
  <c r="C69" i="18"/>
  <c r="D65" i="18"/>
  <c r="E64" i="18"/>
  <c r="E63" i="18"/>
  <c r="E62" i="18"/>
  <c r="E61" i="18"/>
  <c r="D60" i="18"/>
  <c r="D71" i="18" s="1"/>
  <c r="D76" i="18" s="1"/>
  <c r="C60" i="18"/>
  <c r="E59" i="18"/>
  <c r="E58" i="18"/>
  <c r="D55" i="18"/>
  <c r="D54" i="18"/>
  <c r="C54" i="18"/>
  <c r="C55" i="18" s="1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 s="1"/>
  <c r="D39" i="18"/>
  <c r="E39" i="18"/>
  <c r="C39" i="18"/>
  <c r="D38" i="18"/>
  <c r="E38" i="18" s="1"/>
  <c r="C38" i="18"/>
  <c r="D37" i="18"/>
  <c r="D43" i="18" s="1"/>
  <c r="D44" i="18" s="1"/>
  <c r="C37" i="18"/>
  <c r="C43" i="18"/>
  <c r="D36" i="18"/>
  <c r="C36" i="18"/>
  <c r="C44" i="18" s="1"/>
  <c r="C86" i="18" s="1"/>
  <c r="E86" i="18" s="1"/>
  <c r="D33" i="18"/>
  <c r="D32" i="18"/>
  <c r="D294" i="18" s="1"/>
  <c r="C32" i="18"/>
  <c r="C33" i="18" s="1"/>
  <c r="E31" i="18"/>
  <c r="E30" i="18"/>
  <c r="E29" i="18"/>
  <c r="E28" i="18"/>
  <c r="E27" i="18"/>
  <c r="E26" i="18"/>
  <c r="E25" i="18"/>
  <c r="C22" i="18"/>
  <c r="D21" i="18"/>
  <c r="D283" i="18" s="1"/>
  <c r="C21" i="18"/>
  <c r="E20" i="18"/>
  <c r="E19" i="18"/>
  <c r="E18" i="18"/>
  <c r="E17" i="18"/>
  <c r="E16" i="18"/>
  <c r="E15" i="18"/>
  <c r="E14" i="18"/>
  <c r="F335" i="17"/>
  <c r="E335" i="17"/>
  <c r="E334" i="17"/>
  <c r="F334" i="17" s="1"/>
  <c r="E333" i="17"/>
  <c r="F333" i="17" s="1"/>
  <c r="F332" i="17"/>
  <c r="E332" i="17"/>
  <c r="F331" i="17"/>
  <c r="E331" i="17"/>
  <c r="E330" i="17"/>
  <c r="F330" i="17" s="1"/>
  <c r="E329" i="17"/>
  <c r="F329" i="17" s="1"/>
  <c r="F316" i="17"/>
  <c r="E316" i="17"/>
  <c r="D311" i="17"/>
  <c r="E311" i="17" s="1"/>
  <c r="C311" i="17"/>
  <c r="F311" i="17"/>
  <c r="E308" i="17"/>
  <c r="F308" i="17"/>
  <c r="D307" i="17"/>
  <c r="E307" i="17" s="1"/>
  <c r="F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E306" i="17" s="1"/>
  <c r="C250" i="17"/>
  <c r="C306" i="17"/>
  <c r="E249" i="17"/>
  <c r="F249" i="17"/>
  <c r="E248" i="17"/>
  <c r="F248" i="17" s="1"/>
  <c r="F245" i="17"/>
  <c r="E245" i="17"/>
  <c r="E244" i="17"/>
  <c r="F244" i="17" s="1"/>
  <c r="E243" i="17"/>
  <c r="F243" i="17" s="1"/>
  <c r="D238" i="17"/>
  <c r="E238" i="17"/>
  <c r="C238" i="17"/>
  <c r="F238" i="17" s="1"/>
  <c r="D237" i="17"/>
  <c r="C237" i="17"/>
  <c r="E237" i="17" s="1"/>
  <c r="C239" i="17"/>
  <c r="F234" i="17"/>
  <c r="E234" i="17"/>
  <c r="F233" i="17"/>
  <c r="E233" i="17"/>
  <c r="D230" i="17"/>
  <c r="E230" i="17" s="1"/>
  <c r="C230" i="17"/>
  <c r="D229" i="17"/>
  <c r="E229" i="17" s="1"/>
  <c r="F229" i="17" s="1"/>
  <c r="C229" i="17"/>
  <c r="E228" i="17"/>
  <c r="F228" i="17" s="1"/>
  <c r="D226" i="17"/>
  <c r="E226" i="17"/>
  <c r="F226" i="17"/>
  <c r="C226" i="17"/>
  <c r="C227" i="17"/>
  <c r="E225" i="17"/>
  <c r="F225" i="17"/>
  <c r="E224" i="17"/>
  <c r="F224" i="17"/>
  <c r="D223" i="17"/>
  <c r="E223" i="17"/>
  <c r="C223" i="17"/>
  <c r="F223" i="17" s="1"/>
  <c r="E222" i="17"/>
  <c r="F222" i="17"/>
  <c r="E221" i="17"/>
  <c r="F221" i="17"/>
  <c r="D204" i="17"/>
  <c r="C204" i="17"/>
  <c r="D203" i="17"/>
  <c r="C203" i="17"/>
  <c r="C283" i="17" s="1"/>
  <c r="D198" i="17"/>
  <c r="C198" i="17"/>
  <c r="D191" i="17"/>
  <c r="C191" i="17"/>
  <c r="C280" i="17" s="1"/>
  <c r="D189" i="17"/>
  <c r="C189" i="17"/>
  <c r="C278" i="17" s="1"/>
  <c r="C279" i="17" s="1"/>
  <c r="D188" i="17"/>
  <c r="D190" i="17" s="1"/>
  <c r="E190" i="17" s="1"/>
  <c r="F190" i="17" s="1"/>
  <c r="C188" i="17"/>
  <c r="C277" i="17"/>
  <c r="D180" i="17"/>
  <c r="C180" i="17"/>
  <c r="D179" i="17"/>
  <c r="C179" i="17"/>
  <c r="C181" i="17"/>
  <c r="D171" i="17"/>
  <c r="C171" i="17"/>
  <c r="C172" i="17"/>
  <c r="D170" i="17"/>
  <c r="C170" i="17"/>
  <c r="E169" i="17"/>
  <c r="F169" i="17"/>
  <c r="E168" i="17"/>
  <c r="F168" i="17" s="1"/>
  <c r="D165" i="17"/>
  <c r="C165" i="17"/>
  <c r="D164" i="17"/>
  <c r="C164" i="17"/>
  <c r="E163" i="17"/>
  <c r="F163" i="17"/>
  <c r="D158" i="17"/>
  <c r="D159" i="17" s="1"/>
  <c r="E159" i="17" s="1"/>
  <c r="C158" i="17"/>
  <c r="C159" i="17" s="1"/>
  <c r="E157" i="17"/>
  <c r="F157" i="17" s="1"/>
  <c r="E156" i="17"/>
  <c r="F156" i="17"/>
  <c r="D155" i="17"/>
  <c r="C155" i="17"/>
  <c r="E154" i="17"/>
  <c r="F154" i="17" s="1"/>
  <c r="E153" i="17"/>
  <c r="F153" i="17" s="1"/>
  <c r="D145" i="17"/>
  <c r="C145" i="17"/>
  <c r="D144" i="17"/>
  <c r="D146" i="17" s="1"/>
  <c r="C144" i="17"/>
  <c r="D136" i="17"/>
  <c r="D137" i="17" s="1"/>
  <c r="C136" i="17"/>
  <c r="C137" i="17"/>
  <c r="D135" i="17"/>
  <c r="C135" i="17"/>
  <c r="E134" i="17"/>
  <c r="F134" i="17" s="1"/>
  <c r="E133" i="17"/>
  <c r="F133" i="17" s="1"/>
  <c r="D130" i="17"/>
  <c r="C130" i="17"/>
  <c r="D129" i="17"/>
  <c r="C129" i="17"/>
  <c r="E128" i="17"/>
  <c r="F128" i="17" s="1"/>
  <c r="D123" i="17"/>
  <c r="C123" i="17"/>
  <c r="E122" i="17"/>
  <c r="F122" i="17" s="1"/>
  <c r="E121" i="17"/>
  <c r="F121" i="17"/>
  <c r="D120" i="17"/>
  <c r="C120" i="17"/>
  <c r="E119" i="17"/>
  <c r="F119" i="17" s="1"/>
  <c r="E118" i="17"/>
  <c r="F118" i="17"/>
  <c r="D110" i="17"/>
  <c r="C110" i="17"/>
  <c r="D109" i="17"/>
  <c r="D111" i="17" s="1"/>
  <c r="C109" i="17"/>
  <c r="C111" i="17" s="1"/>
  <c r="D101" i="17"/>
  <c r="D102" i="17" s="1"/>
  <c r="C101" i="17"/>
  <c r="C102" i="17"/>
  <c r="D100" i="17"/>
  <c r="C100" i="17"/>
  <c r="E99" i="17"/>
  <c r="F99" i="17" s="1"/>
  <c r="E98" i="17"/>
  <c r="F98" i="17" s="1"/>
  <c r="D95" i="17"/>
  <c r="C95" i="17"/>
  <c r="D94" i="17"/>
  <c r="C94" i="17"/>
  <c r="E93" i="17"/>
  <c r="F93" i="17" s="1"/>
  <c r="D88" i="17"/>
  <c r="C88" i="17"/>
  <c r="C89" i="17"/>
  <c r="E87" i="17"/>
  <c r="F87" i="17"/>
  <c r="E86" i="17"/>
  <c r="F86" i="17"/>
  <c r="D85" i="17"/>
  <c r="E85" i="17" s="1"/>
  <c r="F85" i="17" s="1"/>
  <c r="C85" i="17"/>
  <c r="E84" i="17"/>
  <c r="F84" i="17"/>
  <c r="E83" i="17"/>
  <c r="F83" i="17"/>
  <c r="D76" i="17"/>
  <c r="D77" i="17"/>
  <c r="E77" i="17"/>
  <c r="C76" i="17"/>
  <c r="C77" i="17"/>
  <c r="F74" i="17"/>
  <c r="E74" i="17"/>
  <c r="F73" i="17"/>
  <c r="E73" i="17"/>
  <c r="D67" i="17"/>
  <c r="E67" i="17"/>
  <c r="C67" i="17"/>
  <c r="D66" i="17"/>
  <c r="C66" i="17"/>
  <c r="C68" i="17"/>
  <c r="D59" i="17"/>
  <c r="D60" i="17" s="1"/>
  <c r="C59" i="17"/>
  <c r="C60" i="17"/>
  <c r="D58" i="17"/>
  <c r="E58" i="17"/>
  <c r="C58" i="17"/>
  <c r="E57" i="17"/>
  <c r="F57" i="17" s="1"/>
  <c r="E56" i="17"/>
  <c r="F56" i="17"/>
  <c r="D53" i="17"/>
  <c r="C53" i="17"/>
  <c r="D52" i="17"/>
  <c r="E52" i="17" s="1"/>
  <c r="C52" i="17"/>
  <c r="E51" i="17"/>
  <c r="F51" i="17"/>
  <c r="D47" i="17"/>
  <c r="D48" i="17"/>
  <c r="C47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D37" i="17" s="1"/>
  <c r="E36" i="17"/>
  <c r="F36" i="17"/>
  <c r="C36" i="17"/>
  <c r="D35" i="17"/>
  <c r="C35" i="17"/>
  <c r="D30" i="17"/>
  <c r="D31" i="17" s="1"/>
  <c r="C30" i="17"/>
  <c r="C31" i="17"/>
  <c r="D29" i="17"/>
  <c r="E29" i="17"/>
  <c r="F29" i="17"/>
  <c r="C29" i="17"/>
  <c r="F28" i="17"/>
  <c r="E28" i="17"/>
  <c r="E27" i="17"/>
  <c r="F27" i="17" s="1"/>
  <c r="D24" i="17"/>
  <c r="E24" i="17"/>
  <c r="F24" i="17"/>
  <c r="C24" i="17"/>
  <c r="D23" i="17"/>
  <c r="E23" i="17" s="1"/>
  <c r="C23" i="17"/>
  <c r="F23" i="17" s="1"/>
  <c r="E22" i="17"/>
  <c r="F22" i="17" s="1"/>
  <c r="D20" i="17"/>
  <c r="E20" i="17" s="1"/>
  <c r="F20" i="17"/>
  <c r="C20" i="17"/>
  <c r="F19" i="17"/>
  <c r="E19" i="17"/>
  <c r="E18" i="17"/>
  <c r="F18" i="17" s="1"/>
  <c r="D17" i="17"/>
  <c r="E17" i="17" s="1"/>
  <c r="F17" i="17"/>
  <c r="C17" i="17"/>
  <c r="F16" i="17"/>
  <c r="E16" i="17"/>
  <c r="E15" i="17"/>
  <c r="F15" i="17" s="1"/>
  <c r="D22" i="16"/>
  <c r="E22" i="16" s="1"/>
  <c r="C22" i="16"/>
  <c r="E21" i="16"/>
  <c r="F21" i="16" s="1"/>
  <c r="F20" i="16"/>
  <c r="E20" i="16"/>
  <c r="D17" i="16"/>
  <c r="C17" i="16"/>
  <c r="E16" i="16"/>
  <c r="F16" i="16" s="1"/>
  <c r="D13" i="16"/>
  <c r="E13" i="16" s="1"/>
  <c r="C13" i="16"/>
  <c r="E12" i="16"/>
  <c r="F12" i="16" s="1"/>
  <c r="D107" i="15"/>
  <c r="C107" i="15"/>
  <c r="E107" i="15" s="1"/>
  <c r="E106" i="15"/>
  <c r="F106" i="15" s="1"/>
  <c r="F105" i="15"/>
  <c r="E105" i="15"/>
  <c r="F104" i="15"/>
  <c r="E104" i="15"/>
  <c r="D100" i="15"/>
  <c r="E100" i="15" s="1"/>
  <c r="C100" i="15"/>
  <c r="F99" i="15"/>
  <c r="E99" i="15"/>
  <c r="F98" i="15"/>
  <c r="E98" i="15"/>
  <c r="E97" i="15"/>
  <c r="F97" i="15" s="1"/>
  <c r="E96" i="15"/>
  <c r="F96" i="15" s="1"/>
  <c r="F95" i="15"/>
  <c r="E95" i="15"/>
  <c r="D92" i="15"/>
  <c r="E92" i="15" s="1"/>
  <c r="F92" i="15" s="1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 s="1"/>
  <c r="F75" i="15" s="1"/>
  <c r="D70" i="15"/>
  <c r="E70" i="15" s="1"/>
  <c r="F70" i="15"/>
  <c r="C70" i="15"/>
  <c r="E69" i="15"/>
  <c r="F69" i="15" s="1"/>
  <c r="E68" i="15"/>
  <c r="F68" i="15" s="1"/>
  <c r="D65" i="15"/>
  <c r="E65" i="15" s="1"/>
  <c r="F65" i="15" s="1"/>
  <c r="C65" i="15"/>
  <c r="E64" i="15"/>
  <c r="F64" i="15" s="1"/>
  <c r="E63" i="15"/>
  <c r="F63" i="15" s="1"/>
  <c r="D60" i="15"/>
  <c r="C60" i="15"/>
  <c r="F59" i="15"/>
  <c r="E59" i="15"/>
  <c r="E58" i="15"/>
  <c r="E60" i="15" s="1"/>
  <c r="F60" i="15" s="1"/>
  <c r="D55" i="15"/>
  <c r="E55" i="15"/>
  <c r="C55" i="15"/>
  <c r="F55" i="15" s="1"/>
  <c r="F54" i="15"/>
  <c r="E54" i="15"/>
  <c r="F53" i="15"/>
  <c r="E53" i="15"/>
  <c r="D50" i="15"/>
  <c r="E50" i="15" s="1"/>
  <c r="F50" i="15"/>
  <c r="C50" i="15"/>
  <c r="F49" i="15"/>
  <c r="E49" i="15"/>
  <c r="F48" i="15"/>
  <c r="E48" i="15"/>
  <c r="D45" i="15"/>
  <c r="E45" i="15" s="1"/>
  <c r="F45" i="15"/>
  <c r="C45" i="15"/>
  <c r="E44" i="15"/>
  <c r="F44" i="15" s="1"/>
  <c r="F43" i="15"/>
  <c r="E43" i="15"/>
  <c r="D37" i="15"/>
  <c r="E37" i="15" s="1"/>
  <c r="F37" i="15" s="1"/>
  <c r="C37" i="15"/>
  <c r="F36" i="15"/>
  <c r="E36" i="15"/>
  <c r="F35" i="15"/>
  <c r="E35" i="15"/>
  <c r="F34" i="15"/>
  <c r="E34" i="15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E23" i="15" s="1"/>
  <c r="F23" i="15" s="1"/>
  <c r="C23" i="15"/>
  <c r="F22" i="15"/>
  <c r="E22" i="15"/>
  <c r="F21" i="15"/>
  <c r="E21" i="15"/>
  <c r="F20" i="15"/>
  <c r="E20" i="15"/>
  <c r="F19" i="15"/>
  <c r="E19" i="15"/>
  <c r="D16" i="15"/>
  <c r="E16" i="15"/>
  <c r="C16" i="15"/>
  <c r="F16" i="15" s="1"/>
  <c r="F15" i="15"/>
  <c r="E15" i="15"/>
  <c r="F14" i="15"/>
  <c r="E14" i="15"/>
  <c r="F13" i="15"/>
  <c r="E13" i="15"/>
  <c r="E12" i="15"/>
  <c r="F12" i="15" s="1"/>
  <c r="I37" i="14"/>
  <c r="H37" i="14"/>
  <c r="G31" i="14"/>
  <c r="I31" i="14" s="1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 s="1"/>
  <c r="F17" i="14"/>
  <c r="F33" i="14" s="1"/>
  <c r="E17" i="14"/>
  <c r="E33" i="14" s="1"/>
  <c r="E36" i="14" s="1"/>
  <c r="E38" i="14" s="1"/>
  <c r="E40" i="14" s="1"/>
  <c r="D17" i="14"/>
  <c r="D33" i="14"/>
  <c r="D36" i="14"/>
  <c r="D38" i="14" s="1"/>
  <c r="D40" i="14" s="1"/>
  <c r="C17" i="14"/>
  <c r="C33" i="14" s="1"/>
  <c r="C36" i="14"/>
  <c r="C38" i="14" s="1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D80" i="13"/>
  <c r="D77" i="13" s="1"/>
  <c r="C78" i="13"/>
  <c r="C80" i="13" s="1"/>
  <c r="C77" i="13" s="1"/>
  <c r="C75" i="13"/>
  <c r="E73" i="13"/>
  <c r="E75" i="13" s="1"/>
  <c r="D73" i="13"/>
  <c r="D75" i="13"/>
  <c r="C73" i="13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9" i="13"/>
  <c r="E61" i="13"/>
  <c r="E57" i="13" s="1"/>
  <c r="E58" i="13"/>
  <c r="D58" i="13"/>
  <c r="C58" i="13"/>
  <c r="E55" i="13"/>
  <c r="E50" i="13" s="1"/>
  <c r="D55" i="13"/>
  <c r="D50" i="13" s="1"/>
  <c r="C55" i="13"/>
  <c r="E54" i="13"/>
  <c r="D54" i="13"/>
  <c r="C54" i="13"/>
  <c r="C50" i="13" s="1"/>
  <c r="E48" i="13"/>
  <c r="E42" i="13" s="1"/>
  <c r="E46" i="13"/>
  <c r="D46" i="13"/>
  <c r="C46" i="13"/>
  <c r="C59" i="13" s="1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E25" i="13"/>
  <c r="E27" i="13"/>
  <c r="C15" i="13"/>
  <c r="E13" i="13"/>
  <c r="E15" i="13" s="1"/>
  <c r="E24" i="13" s="1"/>
  <c r="D13" i="13"/>
  <c r="D25" i="13" s="1"/>
  <c r="C13" i="13"/>
  <c r="C25" i="13" s="1"/>
  <c r="C27" i="13" s="1"/>
  <c r="D47" i="12"/>
  <c r="C47" i="12"/>
  <c r="F46" i="12"/>
  <c r="E46" i="12"/>
  <c r="E45" i="12"/>
  <c r="F45" i="12" s="1"/>
  <c r="D40" i="12"/>
  <c r="C40" i="12"/>
  <c r="F39" i="12"/>
  <c r="E39" i="12"/>
  <c r="E38" i="12"/>
  <c r="F38" i="12" s="1"/>
  <c r="E37" i="12"/>
  <c r="F37" i="12" s="1"/>
  <c r="D32" i="12"/>
  <c r="E32" i="12"/>
  <c r="F32" i="12"/>
  <c r="C32" i="12"/>
  <c r="F31" i="12"/>
  <c r="E31" i="12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F24" i="12"/>
  <c r="E24" i="12"/>
  <c r="E23" i="12"/>
  <c r="F23" i="12" s="1"/>
  <c r="E19" i="12"/>
  <c r="F19" i="12" s="1"/>
  <c r="E18" i="12"/>
  <c r="F18" i="12" s="1"/>
  <c r="F16" i="12"/>
  <c r="E16" i="12"/>
  <c r="D15" i="12"/>
  <c r="D17" i="12" s="1"/>
  <c r="C15" i="12"/>
  <c r="C17" i="12"/>
  <c r="F14" i="12"/>
  <c r="E14" i="12"/>
  <c r="F13" i="12"/>
  <c r="E13" i="12"/>
  <c r="E12" i="12"/>
  <c r="F12" i="12" s="1"/>
  <c r="E11" i="12"/>
  <c r="F11" i="12" s="1"/>
  <c r="D73" i="11"/>
  <c r="E73" i="11"/>
  <c r="F73" i="11"/>
  <c r="C73" i="1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D65" i="11"/>
  <c r="C61" i="11"/>
  <c r="C65" i="11" s="1"/>
  <c r="C75" i="11" s="1"/>
  <c r="F60" i="11"/>
  <c r="E60" i="11"/>
  <c r="F59" i="11"/>
  <c r="E59" i="11"/>
  <c r="D56" i="11"/>
  <c r="D75" i="11" s="1"/>
  <c r="E75" i="11" s="1"/>
  <c r="C56" i="11"/>
  <c r="E55" i="11"/>
  <c r="F55" i="11" s="1"/>
  <c r="E54" i="11"/>
  <c r="F54" i="11"/>
  <c r="F53" i="11"/>
  <c r="E53" i="1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D41" i="11"/>
  <c r="E41" i="11" s="1"/>
  <c r="C38" i="11"/>
  <c r="C41" i="11" s="1"/>
  <c r="F37" i="11"/>
  <c r="E37" i="11"/>
  <c r="F36" i="11"/>
  <c r="E36" i="11"/>
  <c r="F33" i="11"/>
  <c r="E33" i="11"/>
  <c r="F32" i="11"/>
  <c r="E32" i="11"/>
  <c r="F31" i="11"/>
  <c r="E31" i="11"/>
  <c r="D29" i="11"/>
  <c r="E29" i="11" s="1"/>
  <c r="F29" i="11" s="1"/>
  <c r="C29" i="11"/>
  <c r="F28" i="11"/>
  <c r="E28" i="11"/>
  <c r="F27" i="11"/>
  <c r="E27" i="11"/>
  <c r="F26" i="11"/>
  <c r="E26" i="11"/>
  <c r="F25" i="11"/>
  <c r="E25" i="11"/>
  <c r="D22" i="11"/>
  <c r="D43" i="11" s="1"/>
  <c r="C22" i="11"/>
  <c r="C43" i="11" s="1"/>
  <c r="E43" i="11" s="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E15" i="11"/>
  <c r="F15" i="11" s="1"/>
  <c r="F14" i="11"/>
  <c r="E14" i="11"/>
  <c r="E13" i="11"/>
  <c r="F13" i="11" s="1"/>
  <c r="D120" i="10"/>
  <c r="C120" i="10"/>
  <c r="D119" i="10"/>
  <c r="E119" i="10" s="1"/>
  <c r="C119" i="10"/>
  <c r="D118" i="10"/>
  <c r="C118" i="10"/>
  <c r="D117" i="10"/>
  <c r="E117" i="10" s="1"/>
  <c r="C117" i="10"/>
  <c r="D116" i="10"/>
  <c r="E116" i="10"/>
  <c r="C116" i="10"/>
  <c r="D115" i="10"/>
  <c r="E115" i="10" s="1"/>
  <c r="C115" i="10"/>
  <c r="D114" i="10"/>
  <c r="E114" i="10"/>
  <c r="C114" i="10"/>
  <c r="D113" i="10"/>
  <c r="C113" i="10"/>
  <c r="C122" i="10" s="1"/>
  <c r="D112" i="10"/>
  <c r="D121" i="10" s="1"/>
  <c r="C112" i="10"/>
  <c r="D108" i="10"/>
  <c r="C108" i="10"/>
  <c r="D107" i="10"/>
  <c r="E107" i="10"/>
  <c r="F107" i="10"/>
  <c r="C107" i="10"/>
  <c r="E106" i="10"/>
  <c r="F106" i="10" s="1"/>
  <c r="E105" i="10"/>
  <c r="F105" i="10" s="1"/>
  <c r="E104" i="10"/>
  <c r="F104" i="10" s="1"/>
  <c r="F103" i="10"/>
  <c r="E103" i="10"/>
  <c r="E102" i="10"/>
  <c r="F102" i="10" s="1"/>
  <c r="E101" i="10"/>
  <c r="F101" i="10" s="1"/>
  <c r="E100" i="10"/>
  <c r="F100" i="10" s="1"/>
  <c r="F99" i="10"/>
  <c r="E99" i="10"/>
  <c r="E98" i="10"/>
  <c r="F98" i="10" s="1"/>
  <c r="D96" i="10"/>
  <c r="E96" i="10" s="1"/>
  <c r="C96" i="10"/>
  <c r="F96" i="10" s="1"/>
  <c r="F95" i="10"/>
  <c r="D95" i="10"/>
  <c r="C95" i="10"/>
  <c r="E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 s="1"/>
  <c r="C84" i="10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C72" i="10"/>
  <c r="E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E59" i="10"/>
  <c r="F59" i="10"/>
  <c r="C59" i="10"/>
  <c r="E58" i="10"/>
  <c r="F58" i="10" s="1"/>
  <c r="E57" i="10"/>
  <c r="F57" i="10" s="1"/>
  <c r="E56" i="10"/>
  <c r="F56" i="10" s="1"/>
  <c r="F55" i="10"/>
  <c r="E55" i="10"/>
  <c r="E54" i="10"/>
  <c r="F54" i="10" s="1"/>
  <c r="E53" i="10"/>
  <c r="F53" i="10" s="1"/>
  <c r="E52" i="10"/>
  <c r="F52" i="10" s="1"/>
  <c r="F51" i="10"/>
  <c r="E51" i="10"/>
  <c r="E50" i="10"/>
  <c r="F50" i="10" s="1"/>
  <c r="D48" i="10"/>
  <c r="E48" i="10" s="1"/>
  <c r="C48" i="10"/>
  <c r="F48" i="10" s="1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F36" i="10" s="1"/>
  <c r="C36" i="10"/>
  <c r="D35" i="10"/>
  <c r="C35" i="10"/>
  <c r="E34" i="10"/>
  <c r="F34" i="10" s="1"/>
  <c r="F33" i="10"/>
  <c r="E33" i="10"/>
  <c r="E32" i="10"/>
  <c r="F32" i="10" s="1"/>
  <c r="E31" i="10"/>
  <c r="F31" i="10" s="1"/>
  <c r="E30" i="10"/>
  <c r="F30" i="10" s="1"/>
  <c r="F29" i="10"/>
  <c r="E29" i="10"/>
  <c r="E28" i="10"/>
  <c r="F28" i="10" s="1"/>
  <c r="E27" i="10"/>
  <c r="F27" i="10" s="1"/>
  <c r="E26" i="10"/>
  <c r="F26" i="10" s="1"/>
  <c r="F24" i="10"/>
  <c r="D24" i="10"/>
  <c r="E24" i="10" s="1"/>
  <c r="C24" i="10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C205" i="9"/>
  <c r="D204" i="9"/>
  <c r="C204" i="9"/>
  <c r="E204" i="9" s="1"/>
  <c r="F204" i="9" s="1"/>
  <c r="D203" i="9"/>
  <c r="E203" i="9" s="1"/>
  <c r="F203" i="9" s="1"/>
  <c r="C203" i="9"/>
  <c r="D202" i="9"/>
  <c r="E202" i="9" s="1"/>
  <c r="F202" i="9" s="1"/>
  <c r="C202" i="9"/>
  <c r="D201" i="9"/>
  <c r="C201" i="9"/>
  <c r="D200" i="9"/>
  <c r="E200" i="9" s="1"/>
  <c r="F200" i="9" s="1"/>
  <c r="C200" i="9"/>
  <c r="D199" i="9"/>
  <c r="C199" i="9"/>
  <c r="D198" i="9"/>
  <c r="D207" i="9"/>
  <c r="C198" i="9"/>
  <c r="C207" i="9" s="1"/>
  <c r="D193" i="9"/>
  <c r="E193" i="9" s="1"/>
  <c r="F193" i="9" s="1"/>
  <c r="C193" i="9"/>
  <c r="D192" i="9"/>
  <c r="E192" i="9" s="1"/>
  <c r="F192" i="9"/>
  <c r="C192" i="9"/>
  <c r="E191" i="9"/>
  <c r="F191" i="9" s="1"/>
  <c r="F190" i="9"/>
  <c r="E190" i="9"/>
  <c r="F189" i="9"/>
  <c r="E189" i="9"/>
  <c r="F188" i="9"/>
  <c r="E188" i="9"/>
  <c r="E187" i="9"/>
  <c r="F187" i="9" s="1"/>
  <c r="F186" i="9"/>
  <c r="E186" i="9"/>
  <c r="F185" i="9"/>
  <c r="E185" i="9"/>
  <c r="F184" i="9"/>
  <c r="E184" i="9"/>
  <c r="E183" i="9"/>
  <c r="F183" i="9" s="1"/>
  <c r="F180" i="9"/>
  <c r="D180" i="9"/>
  <c r="E180" i="9"/>
  <c r="C180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 s="1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F128" i="9" s="1"/>
  <c r="C128" i="9"/>
  <c r="D127" i="9"/>
  <c r="E127" i="9" s="1"/>
  <c r="F127" i="9"/>
  <c r="C127" i="9"/>
  <c r="E126" i="9"/>
  <c r="F126" i="9" s="1"/>
  <c r="F125" i="9"/>
  <c r="E125" i="9"/>
  <c r="F124" i="9"/>
  <c r="E124" i="9"/>
  <c r="E123" i="9"/>
  <c r="F123" i="9" s="1"/>
  <c r="E122" i="9"/>
  <c r="F122" i="9" s="1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 s="1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 s="1"/>
  <c r="F102" i="9"/>
  <c r="C102" i="9"/>
  <c r="D101" i="9"/>
  <c r="E101" i="9" s="1"/>
  <c r="F101" i="9" s="1"/>
  <c r="C101" i="9"/>
  <c r="F100" i="9"/>
  <c r="E100" i="9"/>
  <c r="E99" i="9"/>
  <c r="F99" i="9" s="1"/>
  <c r="F98" i="9"/>
  <c r="E98" i="9"/>
  <c r="F97" i="9"/>
  <c r="E97" i="9"/>
  <c r="F96" i="9"/>
  <c r="E96" i="9"/>
  <c r="E95" i="9"/>
  <c r="F95" i="9" s="1"/>
  <c r="F94" i="9"/>
  <c r="E94" i="9"/>
  <c r="F93" i="9"/>
  <c r="E93" i="9"/>
  <c r="F92" i="9"/>
  <c r="E92" i="9"/>
  <c r="D89" i="9"/>
  <c r="E89" i="9"/>
  <c r="F89" i="9" s="1"/>
  <c r="C89" i="9"/>
  <c r="D88" i="9"/>
  <c r="E88" i="9" s="1"/>
  <c r="F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 s="1"/>
  <c r="C76" i="9"/>
  <c r="D75" i="9"/>
  <c r="C75" i="9"/>
  <c r="F74" i="9"/>
  <c r="E74" i="9"/>
  <c r="F73" i="9"/>
  <c r="E73" i="9"/>
  <c r="F72" i="9"/>
  <c r="E72" i="9"/>
  <c r="E71" i="9"/>
  <c r="F71" i="9" s="1"/>
  <c r="F70" i="9"/>
  <c r="E70" i="9"/>
  <c r="F69" i="9"/>
  <c r="E69" i="9"/>
  <c r="F68" i="9"/>
  <c r="E68" i="9"/>
  <c r="E67" i="9"/>
  <c r="F67" i="9" s="1"/>
  <c r="F66" i="9"/>
  <c r="E66" i="9"/>
  <c r="D63" i="9"/>
  <c r="E63" i="9" s="1"/>
  <c r="F63" i="9"/>
  <c r="C63" i="9"/>
  <c r="D62" i="9"/>
  <c r="E62" i="9" s="1"/>
  <c r="F62" i="9" s="1"/>
  <c r="C62" i="9"/>
  <c r="F61" i="9"/>
  <c r="E61" i="9"/>
  <c r="F60" i="9"/>
  <c r="E60" i="9"/>
  <c r="E59" i="9"/>
  <c r="F59" i="9" s="1"/>
  <c r="F58" i="9"/>
  <c r="E58" i="9"/>
  <c r="F57" i="9"/>
  <c r="E57" i="9"/>
  <c r="F56" i="9"/>
  <c r="E56" i="9"/>
  <c r="E55" i="9"/>
  <c r="F55" i="9" s="1"/>
  <c r="F54" i="9"/>
  <c r="E54" i="9"/>
  <c r="F53" i="9"/>
  <c r="E53" i="9"/>
  <c r="D50" i="9"/>
  <c r="C50" i="9"/>
  <c r="D49" i="9"/>
  <c r="E49" i="9" s="1"/>
  <c r="F49" i="9" s="1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 s="1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E23" i="9" s="1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 s="1"/>
  <c r="C164" i="8"/>
  <c r="C160" i="8" s="1"/>
  <c r="C166" i="8" s="1"/>
  <c r="E162" i="8"/>
  <c r="D162" i="8"/>
  <c r="C162" i="8"/>
  <c r="E161" i="8"/>
  <c r="D161" i="8"/>
  <c r="C161" i="8"/>
  <c r="E160" i="8"/>
  <c r="E166" i="8"/>
  <c r="E147" i="8"/>
  <c r="E143" i="8" s="1"/>
  <c r="D147" i="8"/>
  <c r="D143" i="8"/>
  <c r="D149" i="8"/>
  <c r="C147" i="8"/>
  <c r="E145" i="8"/>
  <c r="D145" i="8"/>
  <c r="C145" i="8"/>
  <c r="E144" i="8"/>
  <c r="D144" i="8"/>
  <c r="C144" i="8"/>
  <c r="C143" i="8"/>
  <c r="C149" i="8" s="1"/>
  <c r="E126" i="8"/>
  <c r="D126" i="8"/>
  <c r="C126" i="8"/>
  <c r="E119" i="8"/>
  <c r="D119" i="8"/>
  <c r="C119" i="8"/>
  <c r="E108" i="8"/>
  <c r="D108" i="8"/>
  <c r="C108" i="8"/>
  <c r="C109" i="8" s="1"/>
  <c r="C106" i="8" s="1"/>
  <c r="E107" i="8"/>
  <c r="E109" i="8" s="1"/>
  <c r="E106" i="8" s="1"/>
  <c r="D107" i="8"/>
  <c r="D109" i="8" s="1"/>
  <c r="D106" i="8" s="1"/>
  <c r="C107" i="8"/>
  <c r="E102" i="8"/>
  <c r="E104" i="8" s="1"/>
  <c r="D102" i="8"/>
  <c r="D104" i="8"/>
  <c r="C102" i="8"/>
  <c r="C104" i="8" s="1"/>
  <c r="E100" i="8"/>
  <c r="D100" i="8"/>
  <c r="C100" i="8"/>
  <c r="E95" i="8"/>
  <c r="E94" i="8"/>
  <c r="D95" i="8"/>
  <c r="C95" i="8"/>
  <c r="C94" i="8" s="1"/>
  <c r="D94" i="8"/>
  <c r="E89" i="8"/>
  <c r="D89" i="8"/>
  <c r="C89" i="8"/>
  <c r="C90" i="8"/>
  <c r="C86" i="8" s="1"/>
  <c r="E87" i="8"/>
  <c r="D87" i="8"/>
  <c r="C87" i="8"/>
  <c r="E84" i="8"/>
  <c r="D84" i="8"/>
  <c r="D79" i="8" s="1"/>
  <c r="C84" i="8"/>
  <c r="C79" i="8" s="1"/>
  <c r="E83" i="8"/>
  <c r="E79" i="8" s="1"/>
  <c r="D83" i="8"/>
  <c r="C83" i="8"/>
  <c r="C77" i="8"/>
  <c r="C71" i="8"/>
  <c r="E75" i="8"/>
  <c r="D75" i="8"/>
  <c r="D88" i="8" s="1"/>
  <c r="D90" i="8" s="1"/>
  <c r="D86" i="8" s="1"/>
  <c r="C75" i="8"/>
  <c r="C88" i="8" s="1"/>
  <c r="E74" i="8"/>
  <c r="D74" i="8"/>
  <c r="C74" i="8"/>
  <c r="E67" i="8"/>
  <c r="D67" i="8"/>
  <c r="C67" i="8"/>
  <c r="D53" i="8"/>
  <c r="E38" i="8"/>
  <c r="D38" i="8"/>
  <c r="D57" i="8" s="1"/>
  <c r="D62" i="8" s="1"/>
  <c r="C38" i="8"/>
  <c r="C57" i="8" s="1"/>
  <c r="C62" i="8"/>
  <c r="E33" i="8"/>
  <c r="E34" i="8"/>
  <c r="D33" i="8"/>
  <c r="D34" i="8" s="1"/>
  <c r="E26" i="8"/>
  <c r="D26" i="8"/>
  <c r="C26" i="8"/>
  <c r="C25" i="8"/>
  <c r="C27" i="8" s="1"/>
  <c r="C15" i="8"/>
  <c r="C24" i="8" s="1"/>
  <c r="E13" i="8"/>
  <c r="D13" i="8"/>
  <c r="C13" i="8"/>
  <c r="F186" i="7"/>
  <c r="E186" i="7"/>
  <c r="D183" i="7"/>
  <c r="D188" i="7"/>
  <c r="E188" i="7" s="1"/>
  <c r="F188" i="7" s="1"/>
  <c r="C183" i="7"/>
  <c r="C188" i="7" s="1"/>
  <c r="E182" i="7"/>
  <c r="F182" i="7" s="1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E170" i="7"/>
  <c r="F170" i="7" s="1"/>
  <c r="D167" i="7"/>
  <c r="C167" i="7"/>
  <c r="F166" i="7"/>
  <c r="E166" i="7"/>
  <c r="F165" i="7"/>
  <c r="E165" i="7"/>
  <c r="F164" i="7"/>
  <c r="E164" i="7"/>
  <c r="E163" i="7"/>
  <c r="F163" i="7" s="1"/>
  <c r="F162" i="7"/>
  <c r="E162" i="7"/>
  <c r="F161" i="7"/>
  <c r="E161" i="7"/>
  <c r="F160" i="7"/>
  <c r="E160" i="7"/>
  <c r="E159" i="7"/>
  <c r="F159" i="7" s="1"/>
  <c r="F158" i="7"/>
  <c r="E158" i="7"/>
  <c r="E157" i="7"/>
  <c r="F157" i="7" s="1"/>
  <c r="F156" i="7"/>
  <c r="E156" i="7"/>
  <c r="E155" i="7"/>
  <c r="F155" i="7" s="1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 s="1"/>
  <c r="F144" i="7"/>
  <c r="E144" i="7"/>
  <c r="F143" i="7"/>
  <c r="E143" i="7"/>
  <c r="F142" i="7"/>
  <c r="E142" i="7"/>
  <c r="E141" i="7"/>
  <c r="F141" i="7" s="1"/>
  <c r="F140" i="7"/>
  <c r="E140" i="7"/>
  <c r="F139" i="7"/>
  <c r="E139" i="7"/>
  <c r="F138" i="7"/>
  <c r="E138" i="7"/>
  <c r="E137" i="7"/>
  <c r="F137" i="7" s="1"/>
  <c r="F136" i="7"/>
  <c r="E136" i="7"/>
  <c r="E135" i="7"/>
  <c r="F135" i="7" s="1"/>
  <c r="F134" i="7"/>
  <c r="E134" i="7"/>
  <c r="E133" i="7"/>
  <c r="F133" i="7" s="1"/>
  <c r="D130" i="7"/>
  <c r="E130" i="7" s="1"/>
  <c r="F130" i="7"/>
  <c r="C130" i="7"/>
  <c r="F129" i="7"/>
  <c r="E129" i="7"/>
  <c r="E128" i="7"/>
  <c r="F128" i="7" s="1"/>
  <c r="F127" i="7"/>
  <c r="E127" i="7"/>
  <c r="E126" i="7"/>
  <c r="F126" i="7" s="1"/>
  <c r="F125" i="7"/>
  <c r="E125" i="7"/>
  <c r="E124" i="7"/>
  <c r="F124" i="7" s="1"/>
  <c r="D121" i="7"/>
  <c r="E121" i="7" s="1"/>
  <c r="C121" i="7"/>
  <c r="F120" i="7"/>
  <c r="E120" i="7"/>
  <c r="E119" i="7"/>
  <c r="F119" i="7" s="1"/>
  <c r="F118" i="7"/>
  <c r="E118" i="7"/>
  <c r="F117" i="7"/>
  <c r="E117" i="7"/>
  <c r="F116" i="7"/>
  <c r="E116" i="7"/>
  <c r="E115" i="7"/>
  <c r="F115" i="7" s="1"/>
  <c r="F114" i="7"/>
  <c r="E114" i="7"/>
  <c r="E113" i="7"/>
  <c r="F113" i="7" s="1"/>
  <c r="F112" i="7"/>
  <c r="E112" i="7"/>
  <c r="E111" i="7"/>
  <c r="F111" i="7" s="1"/>
  <c r="F110" i="7"/>
  <c r="E110" i="7"/>
  <c r="E109" i="7"/>
  <c r="F109" i="7" s="1"/>
  <c r="F108" i="7"/>
  <c r="E108" i="7"/>
  <c r="E107" i="7"/>
  <c r="F107" i="7" s="1"/>
  <c r="F106" i="7"/>
  <c r="E106" i="7"/>
  <c r="E105" i="7"/>
  <c r="F105" i="7" s="1"/>
  <c r="F104" i="7"/>
  <c r="E104" i="7"/>
  <c r="E103" i="7"/>
  <c r="F103" i="7" s="1"/>
  <c r="F93" i="7"/>
  <c r="E93" i="7"/>
  <c r="D90" i="7"/>
  <c r="C90" i="7"/>
  <c r="C95" i="7" s="1"/>
  <c r="E89" i="7"/>
  <c r="F89" i="7" s="1"/>
  <c r="E88" i="7"/>
  <c r="F88" i="7" s="1"/>
  <c r="E87" i="7"/>
  <c r="F87" i="7" s="1"/>
  <c r="F86" i="7"/>
  <c r="E86" i="7"/>
  <c r="F85" i="7"/>
  <c r="E85" i="7"/>
  <c r="E84" i="7"/>
  <c r="F84" i="7" s="1"/>
  <c r="F83" i="7"/>
  <c r="E83" i="7"/>
  <c r="F82" i="7"/>
  <c r="E82" i="7"/>
  <c r="E81" i="7"/>
  <c r="F81" i="7" s="1"/>
  <c r="E80" i="7"/>
  <c r="F80" i="7" s="1"/>
  <c r="F79" i="7"/>
  <c r="E79" i="7"/>
  <c r="F78" i="7"/>
  <c r="E78" i="7"/>
  <c r="F77" i="7"/>
  <c r="E77" i="7"/>
  <c r="E76" i="7"/>
  <c r="F76" i="7" s="1"/>
  <c r="E75" i="7"/>
  <c r="F75" i="7" s="1"/>
  <c r="F74" i="7"/>
  <c r="E74" i="7"/>
  <c r="E73" i="7"/>
  <c r="F73" i="7" s="1"/>
  <c r="E72" i="7"/>
  <c r="F72" i="7" s="1"/>
  <c r="F71" i="7"/>
  <c r="E71" i="7"/>
  <c r="F70" i="7"/>
  <c r="E70" i="7"/>
  <c r="E69" i="7"/>
  <c r="F69" i="7" s="1"/>
  <c r="E68" i="7"/>
  <c r="F68" i="7" s="1"/>
  <c r="E67" i="7"/>
  <c r="F67" i="7" s="1"/>
  <c r="F66" i="7"/>
  <c r="E66" i="7"/>
  <c r="E65" i="7"/>
  <c r="F65" i="7" s="1"/>
  <c r="E64" i="7"/>
  <c r="F64" i="7" s="1"/>
  <c r="F63" i="7"/>
  <c r="E63" i="7"/>
  <c r="F62" i="7"/>
  <c r="E62" i="7"/>
  <c r="D59" i="7"/>
  <c r="C59" i="7"/>
  <c r="F58" i="7"/>
  <c r="E58" i="7"/>
  <c r="F57" i="7"/>
  <c r="E57" i="7"/>
  <c r="E56" i="7"/>
  <c r="F56" i="7" s="1"/>
  <c r="E55" i="7"/>
  <c r="F55" i="7" s="1"/>
  <c r="F54" i="7"/>
  <c r="E54" i="7"/>
  <c r="F53" i="7"/>
  <c r="E53" i="7"/>
  <c r="E50" i="7"/>
  <c r="F50" i="7" s="1"/>
  <c r="E47" i="7"/>
  <c r="F47" i="7" s="1"/>
  <c r="E44" i="7"/>
  <c r="F44" i="7" s="1"/>
  <c r="D41" i="7"/>
  <c r="E41" i="7" s="1"/>
  <c r="C41" i="7"/>
  <c r="E40" i="7"/>
  <c r="F40" i="7" s="1"/>
  <c r="F39" i="7"/>
  <c r="E39" i="7"/>
  <c r="F38" i="7"/>
  <c r="E38" i="7"/>
  <c r="D35" i="7"/>
  <c r="C35" i="7"/>
  <c r="E34" i="7"/>
  <c r="F34" i="7" s="1"/>
  <c r="F33" i="7"/>
  <c r="E33" i="7"/>
  <c r="D30" i="7"/>
  <c r="C30" i="7"/>
  <c r="E29" i="7"/>
  <c r="F29" i="7" s="1"/>
  <c r="F28" i="7"/>
  <c r="E28" i="7"/>
  <c r="E27" i="7"/>
  <c r="F27" i="7" s="1"/>
  <c r="D24" i="7"/>
  <c r="C24" i="7"/>
  <c r="E24" i="7" s="1"/>
  <c r="F23" i="7"/>
  <c r="E23" i="7"/>
  <c r="E22" i="7"/>
  <c r="F22" i="7" s="1"/>
  <c r="E21" i="7"/>
  <c r="F21" i="7" s="1"/>
  <c r="D18" i="7"/>
  <c r="E18" i="7" s="1"/>
  <c r="F18" i="7" s="1"/>
  <c r="C18" i="7"/>
  <c r="E17" i="7"/>
  <c r="F17" i="7" s="1"/>
  <c r="E16" i="7"/>
  <c r="F16" i="7" s="1"/>
  <c r="E15" i="7"/>
  <c r="F15" i="7" s="1"/>
  <c r="D179" i="6"/>
  <c r="E179" i="6" s="1"/>
  <c r="F179" i="6" s="1"/>
  <c r="C179" i="6"/>
  <c r="F178" i="6"/>
  <c r="E178" i="6"/>
  <c r="F177" i="6"/>
  <c r="E177" i="6"/>
  <c r="F176" i="6"/>
  <c r="E176" i="6"/>
  <c r="E175" i="6"/>
  <c r="F175" i="6" s="1"/>
  <c r="F174" i="6"/>
  <c r="E174" i="6"/>
  <c r="E173" i="6"/>
  <c r="F173" i="6" s="1"/>
  <c r="F172" i="6"/>
  <c r="E172" i="6"/>
  <c r="E171" i="6"/>
  <c r="F171" i="6" s="1"/>
  <c r="F170" i="6"/>
  <c r="E170" i="6"/>
  <c r="E169" i="6"/>
  <c r="F169" i="6" s="1"/>
  <c r="F168" i="6"/>
  <c r="E168" i="6"/>
  <c r="D166" i="6"/>
  <c r="E166" i="6"/>
  <c r="F166" i="6"/>
  <c r="C166" i="6"/>
  <c r="E165" i="6"/>
  <c r="F165" i="6" s="1"/>
  <c r="F164" i="6"/>
  <c r="E164" i="6"/>
  <c r="E163" i="6"/>
  <c r="F163" i="6" s="1"/>
  <c r="F162" i="6"/>
  <c r="E162" i="6"/>
  <c r="F161" i="6"/>
  <c r="E161" i="6"/>
  <c r="F160" i="6"/>
  <c r="E160" i="6"/>
  <c r="E159" i="6"/>
  <c r="F159" i="6" s="1"/>
  <c r="F158" i="6"/>
  <c r="E158" i="6"/>
  <c r="F157" i="6"/>
  <c r="E157" i="6"/>
  <c r="F156" i="6"/>
  <c r="E156" i="6"/>
  <c r="E155" i="6"/>
  <c r="F155" i="6" s="1"/>
  <c r="D153" i="6"/>
  <c r="C153" i="6"/>
  <c r="F152" i="6"/>
  <c r="E152" i="6"/>
  <c r="F151" i="6"/>
  <c r="E151" i="6"/>
  <c r="F150" i="6"/>
  <c r="E150" i="6"/>
  <c r="E149" i="6"/>
  <c r="F149" i="6" s="1"/>
  <c r="F148" i="6"/>
  <c r="E148" i="6"/>
  <c r="E147" i="6"/>
  <c r="F147" i="6" s="1"/>
  <c r="F146" i="6"/>
  <c r="E146" i="6"/>
  <c r="F145" i="6"/>
  <c r="E145" i="6"/>
  <c r="F144" i="6"/>
  <c r="E144" i="6"/>
  <c r="E143" i="6"/>
  <c r="F143" i="6" s="1"/>
  <c r="F142" i="6"/>
  <c r="E142" i="6"/>
  <c r="D137" i="6"/>
  <c r="E137" i="6"/>
  <c r="F137" i="6" s="1"/>
  <c r="C137" i="6"/>
  <c r="E136" i="6"/>
  <c r="F136" i="6" s="1"/>
  <c r="F135" i="6"/>
  <c r="E135" i="6"/>
  <c r="E134" i="6"/>
  <c r="F134" i="6" s="1"/>
  <c r="F133" i="6"/>
  <c r="E133" i="6"/>
  <c r="E132" i="6"/>
  <c r="F132" i="6" s="1"/>
  <c r="F131" i="6"/>
  <c r="E131" i="6"/>
  <c r="F130" i="6"/>
  <c r="E130" i="6"/>
  <c r="F129" i="6"/>
  <c r="E129" i="6"/>
  <c r="E128" i="6"/>
  <c r="F128" i="6" s="1"/>
  <c r="F127" i="6"/>
  <c r="E127" i="6"/>
  <c r="F126" i="6"/>
  <c r="E126" i="6"/>
  <c r="D124" i="6"/>
  <c r="E124" i="6" s="1"/>
  <c r="C124" i="6"/>
  <c r="F124" i="6" s="1"/>
  <c r="F123" i="6"/>
  <c r="E123" i="6"/>
  <c r="F122" i="6"/>
  <c r="E122" i="6"/>
  <c r="F121" i="6"/>
  <c r="E121" i="6"/>
  <c r="E120" i="6"/>
  <c r="F120" i="6" s="1"/>
  <c r="F119" i="6"/>
  <c r="E119" i="6"/>
  <c r="E118" i="6"/>
  <c r="F118" i="6" s="1"/>
  <c r="F117" i="6"/>
  <c r="E117" i="6"/>
  <c r="E116" i="6"/>
  <c r="F116" i="6" s="1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E108" i="6"/>
  <c r="F108" i="6" s="1"/>
  <c r="F107" i="6"/>
  <c r="E107" i="6"/>
  <c r="E106" i="6"/>
  <c r="F106" i="6" s="1"/>
  <c r="F105" i="6"/>
  <c r="E105" i="6"/>
  <c r="E104" i="6"/>
  <c r="F104" i="6" s="1"/>
  <c r="F103" i="6"/>
  <c r="E103" i="6"/>
  <c r="E102" i="6"/>
  <c r="F102" i="6" s="1"/>
  <c r="F101" i="6"/>
  <c r="E101" i="6"/>
  <c r="E100" i="6"/>
  <c r="F100" i="6" s="1"/>
  <c r="D94" i="6"/>
  <c r="E94" i="6" s="1"/>
  <c r="F94" i="6" s="1"/>
  <c r="C94" i="6"/>
  <c r="F93" i="6"/>
  <c r="D93" i="6"/>
  <c r="E93" i="6" s="1"/>
  <c r="C93" i="6"/>
  <c r="D92" i="6"/>
  <c r="C92" i="6"/>
  <c r="D91" i="6"/>
  <c r="E91" i="6" s="1"/>
  <c r="C91" i="6"/>
  <c r="D90" i="6"/>
  <c r="C90" i="6"/>
  <c r="D89" i="6"/>
  <c r="E89" i="6" s="1"/>
  <c r="C89" i="6"/>
  <c r="F89" i="6" s="1"/>
  <c r="D88" i="6"/>
  <c r="E88" i="6" s="1"/>
  <c r="F88" i="6" s="1"/>
  <c r="C88" i="6"/>
  <c r="D87" i="6"/>
  <c r="E87" i="6" s="1"/>
  <c r="C87" i="6"/>
  <c r="F87" i="6" s="1"/>
  <c r="D86" i="6"/>
  <c r="C86" i="6"/>
  <c r="D85" i="6"/>
  <c r="E85" i="6" s="1"/>
  <c r="C85" i="6"/>
  <c r="D84" i="6"/>
  <c r="C84" i="6"/>
  <c r="D81" i="6"/>
  <c r="E81" i="6" s="1"/>
  <c r="C81" i="6"/>
  <c r="F80" i="6"/>
  <c r="E80" i="6"/>
  <c r="F79" i="6"/>
  <c r="E79" i="6"/>
  <c r="F78" i="6"/>
  <c r="E78" i="6"/>
  <c r="E77" i="6"/>
  <c r="F77" i="6" s="1"/>
  <c r="F76" i="6"/>
  <c r="E76" i="6"/>
  <c r="F75" i="6"/>
  <c r="E75" i="6"/>
  <c r="F74" i="6"/>
  <c r="E74" i="6"/>
  <c r="E73" i="6"/>
  <c r="F73" i="6" s="1"/>
  <c r="F72" i="6"/>
  <c r="E72" i="6"/>
  <c r="E71" i="6"/>
  <c r="F71" i="6" s="1"/>
  <c r="F70" i="6"/>
  <c r="E70" i="6"/>
  <c r="D68" i="6"/>
  <c r="E68" i="6"/>
  <c r="F68" i="6"/>
  <c r="C68" i="6"/>
  <c r="E67" i="6"/>
  <c r="F67" i="6" s="1"/>
  <c r="F66" i="6"/>
  <c r="E66" i="6"/>
  <c r="E65" i="6"/>
  <c r="F65" i="6" s="1"/>
  <c r="F64" i="6"/>
  <c r="E64" i="6"/>
  <c r="E63" i="6"/>
  <c r="F63" i="6" s="1"/>
  <c r="F62" i="6"/>
  <c r="E62" i="6"/>
  <c r="E61" i="6"/>
  <c r="F61" i="6" s="1"/>
  <c r="F60" i="6"/>
  <c r="E60" i="6"/>
  <c r="F59" i="6"/>
  <c r="E59" i="6"/>
  <c r="F58" i="6"/>
  <c r="E58" i="6"/>
  <c r="E57" i="6"/>
  <c r="F57" i="6" s="1"/>
  <c r="D51" i="6"/>
  <c r="C51" i="6"/>
  <c r="F50" i="6"/>
  <c r="D50" i="6"/>
  <c r="E50" i="6" s="1"/>
  <c r="C50" i="6"/>
  <c r="D49" i="6"/>
  <c r="E49" i="6" s="1"/>
  <c r="F49" i="6" s="1"/>
  <c r="C49" i="6"/>
  <c r="D48" i="6"/>
  <c r="E48" i="6" s="1"/>
  <c r="C48" i="6"/>
  <c r="F48" i="6" s="1"/>
  <c r="D47" i="6"/>
  <c r="C47" i="6"/>
  <c r="D46" i="6"/>
  <c r="E46" i="6" s="1"/>
  <c r="C46" i="6"/>
  <c r="D45" i="6"/>
  <c r="C45" i="6"/>
  <c r="D44" i="6"/>
  <c r="E44" i="6" s="1"/>
  <c r="C44" i="6"/>
  <c r="D43" i="6"/>
  <c r="C43" i="6"/>
  <c r="D42" i="6"/>
  <c r="E42" i="6" s="1"/>
  <c r="C42" i="6"/>
  <c r="D41" i="6"/>
  <c r="C41" i="6"/>
  <c r="C52" i="6"/>
  <c r="D38" i="6"/>
  <c r="C38" i="6"/>
  <c r="E37" i="6"/>
  <c r="F37" i="6" s="1"/>
  <c r="F36" i="6"/>
  <c r="E36" i="6"/>
  <c r="F35" i="6"/>
  <c r="E35" i="6"/>
  <c r="E34" i="6"/>
  <c r="F34" i="6" s="1"/>
  <c r="E33" i="6"/>
  <c r="F33" i="6" s="1"/>
  <c r="F32" i="6"/>
  <c r="E32" i="6"/>
  <c r="E31" i="6"/>
  <c r="F31" i="6" s="1"/>
  <c r="E30" i="6"/>
  <c r="F30" i="6" s="1"/>
  <c r="E29" i="6"/>
  <c r="F29" i="6" s="1"/>
  <c r="E28" i="6"/>
  <c r="F28" i="6" s="1"/>
  <c r="E27" i="6"/>
  <c r="F27" i="6" s="1"/>
  <c r="D25" i="6"/>
  <c r="E25" i="6" s="1"/>
  <c r="C25" i="6"/>
  <c r="F24" i="6"/>
  <c r="E24" i="6"/>
  <c r="F23" i="6"/>
  <c r="E23" i="6"/>
  <c r="F22" i="6"/>
  <c r="E22" i="6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F14" i="6"/>
  <c r="E14" i="6"/>
  <c r="E51" i="5"/>
  <c r="F51" i="5" s="1"/>
  <c r="D48" i="5"/>
  <c r="E48" i="5"/>
  <c r="C48" i="5"/>
  <c r="F47" i="5"/>
  <c r="E47" i="5"/>
  <c r="E46" i="5"/>
  <c r="F46" i="5" s="1"/>
  <c r="D41" i="5"/>
  <c r="E41" i="5"/>
  <c r="C41" i="5"/>
  <c r="F40" i="5"/>
  <c r="E40" i="5"/>
  <c r="E39" i="5"/>
  <c r="F39" i="5" s="1"/>
  <c r="E38" i="5"/>
  <c r="F38" i="5" s="1"/>
  <c r="D33" i="5"/>
  <c r="C33" i="5"/>
  <c r="E32" i="5"/>
  <c r="F32" i="5" s="1"/>
  <c r="E31" i="5"/>
  <c r="F31" i="5" s="1"/>
  <c r="F30" i="5"/>
  <c r="E30" i="5"/>
  <c r="E29" i="5"/>
  <c r="F29" i="5" s="1"/>
  <c r="E28" i="5"/>
  <c r="F28" i="5" s="1"/>
  <c r="F27" i="5"/>
  <c r="E27" i="5"/>
  <c r="F26" i="5"/>
  <c r="E26" i="5"/>
  <c r="F25" i="5"/>
  <c r="E25" i="5"/>
  <c r="E24" i="5"/>
  <c r="F24" i="5" s="1"/>
  <c r="E20" i="5"/>
  <c r="F20" i="5" s="1"/>
  <c r="F19" i="5"/>
  <c r="E19" i="5"/>
  <c r="F17" i="5"/>
  <c r="E17" i="5"/>
  <c r="D16" i="5"/>
  <c r="D18" i="5"/>
  <c r="D21" i="5" s="1"/>
  <c r="C16" i="5"/>
  <c r="C18" i="5"/>
  <c r="C21" i="5" s="1"/>
  <c r="F15" i="5"/>
  <c r="E15" i="5"/>
  <c r="E14" i="5"/>
  <c r="F14" i="5" s="1"/>
  <c r="E13" i="5"/>
  <c r="F13" i="5" s="1"/>
  <c r="F12" i="5"/>
  <c r="E12" i="5"/>
  <c r="D73" i="4"/>
  <c r="E73" i="4" s="1"/>
  <c r="F73" i="4" s="1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C61" i="4"/>
  <c r="C65" i="4"/>
  <c r="E60" i="4"/>
  <c r="F60" i="4" s="1"/>
  <c r="E59" i="4"/>
  <c r="F59" i="4" s="1"/>
  <c r="D56" i="4"/>
  <c r="C56" i="4"/>
  <c r="C75" i="4" s="1"/>
  <c r="E55" i="4"/>
  <c r="F55" i="4" s="1"/>
  <c r="E54" i="4"/>
  <c r="F54" i="4" s="1"/>
  <c r="E53" i="4"/>
  <c r="F53" i="4" s="1"/>
  <c r="F52" i="4"/>
  <c r="E52" i="4"/>
  <c r="E51" i="4"/>
  <c r="F51" i="4" s="1"/>
  <c r="A51" i="4"/>
  <c r="A52" i="4" s="1"/>
  <c r="A53" i="4" s="1"/>
  <c r="A54" i="4" s="1"/>
  <c r="A55" i="4" s="1"/>
  <c r="E50" i="4"/>
  <c r="F50" i="4"/>
  <c r="A50" i="4"/>
  <c r="F49" i="4"/>
  <c r="E49" i="4"/>
  <c r="E40" i="4"/>
  <c r="F40" i="4" s="1"/>
  <c r="D38" i="4"/>
  <c r="C38" i="4"/>
  <c r="C41" i="4"/>
  <c r="E37" i="4"/>
  <c r="F37" i="4" s="1"/>
  <c r="E36" i="4"/>
  <c r="F36" i="4" s="1"/>
  <c r="E33" i="4"/>
  <c r="F33" i="4" s="1"/>
  <c r="F32" i="4"/>
  <c r="E32" i="4"/>
  <c r="F31" i="4"/>
  <c r="E31" i="4"/>
  <c r="D29" i="4"/>
  <c r="E29" i="4" s="1"/>
  <c r="C29" i="4"/>
  <c r="F28" i="4"/>
  <c r="E28" i="4"/>
  <c r="F27" i="4"/>
  <c r="E27" i="4"/>
  <c r="E26" i="4"/>
  <c r="F26" i="4" s="1"/>
  <c r="E25" i="4"/>
  <c r="F25" i="4" s="1"/>
  <c r="D22" i="4"/>
  <c r="C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E109" i="22"/>
  <c r="E108" i="22"/>
  <c r="D22" i="22"/>
  <c r="C23" i="22"/>
  <c r="E23" i="22"/>
  <c r="D33" i="22"/>
  <c r="C34" i="22"/>
  <c r="E34" i="22"/>
  <c r="D101" i="22"/>
  <c r="D103" i="22" s="1"/>
  <c r="C102" i="22"/>
  <c r="E102" i="22"/>
  <c r="E103" i="22"/>
  <c r="D111" i="22"/>
  <c r="C22" i="22"/>
  <c r="E22" i="22"/>
  <c r="D30" i="22"/>
  <c r="D36" i="22"/>
  <c r="D40" i="22"/>
  <c r="D46" i="22"/>
  <c r="C41" i="20"/>
  <c r="D41" i="20"/>
  <c r="E39" i="20"/>
  <c r="E40" i="20"/>
  <c r="F40" i="20"/>
  <c r="E19" i="20"/>
  <c r="F19" i="20"/>
  <c r="E43" i="20"/>
  <c r="C38" i="19"/>
  <c r="C127" i="19"/>
  <c r="C129" i="19" s="1"/>
  <c r="C133" i="19" s="1"/>
  <c r="C65" i="19"/>
  <c r="C114" i="19" s="1"/>
  <c r="C116" i="19" s="1"/>
  <c r="C119" i="19" s="1"/>
  <c r="C123" i="19" s="1"/>
  <c r="C22" i="19"/>
  <c r="E94" i="17"/>
  <c r="F94" i="17" s="1"/>
  <c r="E95" i="17"/>
  <c r="E100" i="17"/>
  <c r="F100" i="17" s="1"/>
  <c r="E110" i="17"/>
  <c r="F110" i="17" s="1"/>
  <c r="E120" i="17"/>
  <c r="E164" i="17"/>
  <c r="E165" i="17"/>
  <c r="F165" i="17"/>
  <c r="E170" i="17"/>
  <c r="C49" i="19"/>
  <c r="E33" i="18"/>
  <c r="D258" i="18"/>
  <c r="D101" i="18"/>
  <c r="D99" i="18"/>
  <c r="D97" i="18"/>
  <c r="D95" i="18"/>
  <c r="D88" i="18"/>
  <c r="D86" i="18"/>
  <c r="D84" i="18"/>
  <c r="D90" i="18" s="1"/>
  <c r="D91" i="18" s="1"/>
  <c r="D100" i="18"/>
  <c r="D102" i="18" s="1"/>
  <c r="D98" i="18"/>
  <c r="D96" i="18"/>
  <c r="D89" i="18"/>
  <c r="D87" i="18"/>
  <c r="D85" i="18"/>
  <c r="D83" i="18"/>
  <c r="D259" i="18"/>
  <c r="D263" i="18" s="1"/>
  <c r="E43" i="18"/>
  <c r="D192" i="17"/>
  <c r="E129" i="17"/>
  <c r="F129" i="17" s="1"/>
  <c r="E130" i="17"/>
  <c r="E135" i="17"/>
  <c r="F135" i="17" s="1"/>
  <c r="E145" i="17"/>
  <c r="F145" i="17" s="1"/>
  <c r="E155" i="17"/>
  <c r="F155" i="17"/>
  <c r="E294" i="17"/>
  <c r="E295" i="17"/>
  <c r="E296" i="17"/>
  <c r="E297" i="17"/>
  <c r="F297" i="17" s="1"/>
  <c r="E298" i="17"/>
  <c r="F298" i="17" s="1"/>
  <c r="E299" i="17"/>
  <c r="C283" i="18"/>
  <c r="E21" i="18"/>
  <c r="D22" i="18"/>
  <c r="D284" i="18" s="1"/>
  <c r="E37" i="18"/>
  <c r="D66" i="18"/>
  <c r="E65" i="18"/>
  <c r="D77" i="18"/>
  <c r="E69" i="18"/>
  <c r="E283" i="18"/>
  <c r="E32" i="18"/>
  <c r="D295" i="18"/>
  <c r="E36" i="18"/>
  <c r="E54" i="18"/>
  <c r="C289" i="18"/>
  <c r="C71" i="18"/>
  <c r="C76" i="18"/>
  <c r="C65" i="18"/>
  <c r="C294" i="18" s="1"/>
  <c r="E294" i="18" s="1"/>
  <c r="E60" i="18"/>
  <c r="E70" i="18"/>
  <c r="D157" i="18"/>
  <c r="E157" i="18"/>
  <c r="E156" i="18"/>
  <c r="C144" i="18"/>
  <c r="E144" i="18"/>
  <c r="D145" i="18"/>
  <c r="E151" i="18"/>
  <c r="D163" i="18"/>
  <c r="E163" i="18"/>
  <c r="C175" i="18"/>
  <c r="E175" i="18" s="1"/>
  <c r="D180" i="18"/>
  <c r="C261" i="18"/>
  <c r="C189" i="18"/>
  <c r="E189" i="18" s="1"/>
  <c r="E188" i="18"/>
  <c r="D260" i="18"/>
  <c r="E195" i="18"/>
  <c r="E229" i="18"/>
  <c r="E242" i="18"/>
  <c r="E243" i="18"/>
  <c r="D252" i="18"/>
  <c r="E302" i="18"/>
  <c r="C303" i="18"/>
  <c r="E303" i="18" s="1"/>
  <c r="E139" i="18"/>
  <c r="D234" i="18"/>
  <c r="D306" i="18"/>
  <c r="C210" i="18"/>
  <c r="E210" i="18" s="1"/>
  <c r="D211" i="18"/>
  <c r="E215" i="18"/>
  <c r="C217" i="18"/>
  <c r="C241" i="18"/>
  <c r="E219" i="18"/>
  <c r="E221" i="18"/>
  <c r="D222" i="18"/>
  <c r="D223" i="18" s="1"/>
  <c r="D247" i="18" s="1"/>
  <c r="C252" i="18"/>
  <c r="E265" i="18"/>
  <c r="E314" i="18"/>
  <c r="D326" i="18"/>
  <c r="E205" i="18"/>
  <c r="E216" i="18"/>
  <c r="E218" i="18"/>
  <c r="E220" i="18"/>
  <c r="C222" i="18"/>
  <c r="C246" i="18"/>
  <c r="E246" i="18" s="1"/>
  <c r="E233" i="18"/>
  <c r="E251" i="18"/>
  <c r="E301" i="18"/>
  <c r="C32" i="17"/>
  <c r="C175" i="17" s="1"/>
  <c r="C61" i="17"/>
  <c r="E102" i="17"/>
  <c r="D103" i="17"/>
  <c r="E111" i="17"/>
  <c r="F111" i="17" s="1"/>
  <c r="C207" i="17"/>
  <c r="C138" i="17"/>
  <c r="F159" i="17"/>
  <c r="D32" i="17"/>
  <c r="D62" i="17" s="1"/>
  <c r="E31" i="17"/>
  <c r="F31" i="17" s="1"/>
  <c r="D61" i="17"/>
  <c r="E61" i="17" s="1"/>
  <c r="E60" i="17"/>
  <c r="F60" i="17"/>
  <c r="C103" i="17"/>
  <c r="F102" i="17"/>
  <c r="E137" i="17"/>
  <c r="F137" i="17" s="1"/>
  <c r="D138" i="17"/>
  <c r="E138" i="17" s="1"/>
  <c r="C173" i="17"/>
  <c r="C21" i="17"/>
  <c r="E30" i="17"/>
  <c r="F30" i="17" s="1"/>
  <c r="E35" i="17"/>
  <c r="F35" i="17"/>
  <c r="C37" i="17"/>
  <c r="E59" i="17"/>
  <c r="F59" i="17" s="1"/>
  <c r="E66" i="17"/>
  <c r="F66" i="17"/>
  <c r="E76" i="17"/>
  <c r="F76" i="17" s="1"/>
  <c r="F95" i="17"/>
  <c r="F120" i="17"/>
  <c r="E192" i="17"/>
  <c r="F192" i="17" s="1"/>
  <c r="D124" i="17"/>
  <c r="D125" i="17" s="1"/>
  <c r="F130" i="17"/>
  <c r="F164" i="17"/>
  <c r="F170" i="17"/>
  <c r="E180" i="17"/>
  <c r="F180" i="17"/>
  <c r="D278" i="17"/>
  <c r="E189" i="17"/>
  <c r="F189" i="17" s="1"/>
  <c r="D262" i="17"/>
  <c r="D215" i="17"/>
  <c r="D21" i="17"/>
  <c r="E101" i="17"/>
  <c r="F101" i="17"/>
  <c r="E109" i="17"/>
  <c r="F109" i="17"/>
  <c r="C193" i="17"/>
  <c r="C192" i="17"/>
  <c r="E123" i="17"/>
  <c r="F123" i="17" s="1"/>
  <c r="C124" i="17"/>
  <c r="E136" i="17"/>
  <c r="F136" i="17"/>
  <c r="E144" i="17"/>
  <c r="F144" i="17" s="1"/>
  <c r="E158" i="17"/>
  <c r="F158" i="17"/>
  <c r="E179" i="17"/>
  <c r="F179" i="17"/>
  <c r="D277" i="17"/>
  <c r="E277" i="17" s="1"/>
  <c r="E188" i="17"/>
  <c r="F188" i="17" s="1"/>
  <c r="D261" i="17"/>
  <c r="D214" i="17"/>
  <c r="D206" i="17"/>
  <c r="D280" i="17"/>
  <c r="E191" i="17"/>
  <c r="F191" i="17"/>
  <c r="D264" i="17"/>
  <c r="D200" i="17"/>
  <c r="D193" i="17"/>
  <c r="D266" i="17"/>
  <c r="D265" i="17" s="1"/>
  <c r="D290" i="17"/>
  <c r="D274" i="17"/>
  <c r="D199" i="17"/>
  <c r="D283" i="17"/>
  <c r="D267" i="17"/>
  <c r="D270" i="17" s="1"/>
  <c r="D285" i="17"/>
  <c r="D269" i="17"/>
  <c r="D272" i="17" s="1"/>
  <c r="D205" i="17"/>
  <c r="D227" i="17"/>
  <c r="E227" i="17" s="1"/>
  <c r="F227" i="17" s="1"/>
  <c r="D239" i="17"/>
  <c r="E239" i="17"/>
  <c r="F239" i="17"/>
  <c r="C190" i="17"/>
  <c r="C290" i="17"/>
  <c r="C274" i="17"/>
  <c r="E274" i="17" s="1"/>
  <c r="E198" i="17"/>
  <c r="F198" i="17" s="1"/>
  <c r="C199" i="17"/>
  <c r="C200" i="17"/>
  <c r="E203" i="17"/>
  <c r="F203" i="17" s="1"/>
  <c r="C206" i="17"/>
  <c r="C214" i="17"/>
  <c r="C304" i="17" s="1"/>
  <c r="E250" i="17"/>
  <c r="F250" i="17"/>
  <c r="C254" i="17"/>
  <c r="C261" i="17"/>
  <c r="C262" i="17"/>
  <c r="C264" i="17"/>
  <c r="C267" i="17"/>
  <c r="F294" i="17"/>
  <c r="F295" i="17"/>
  <c r="F296" i="17"/>
  <c r="F299" i="17"/>
  <c r="F22" i="16"/>
  <c r="F107" i="15"/>
  <c r="G36" i="14"/>
  <c r="G38" i="14"/>
  <c r="G40" i="14" s="1"/>
  <c r="I33" i="14"/>
  <c r="I36" i="14"/>
  <c r="I38" i="14"/>
  <c r="I40" i="14" s="1"/>
  <c r="I17" i="14"/>
  <c r="D31" i="14"/>
  <c r="F31" i="14"/>
  <c r="H31" i="14" s="1"/>
  <c r="H17" i="14"/>
  <c r="C21" i="13"/>
  <c r="D15" i="13"/>
  <c r="D24" i="13" s="1"/>
  <c r="E17" i="13"/>
  <c r="E28" i="13"/>
  <c r="E70" i="13"/>
  <c r="E72" i="13" s="1"/>
  <c r="E69" i="13" s="1"/>
  <c r="F17" i="12"/>
  <c r="C20" i="12"/>
  <c r="D20" i="12"/>
  <c r="E17" i="12"/>
  <c r="E15" i="12"/>
  <c r="F15" i="12" s="1"/>
  <c r="F43" i="11"/>
  <c r="F41" i="11"/>
  <c r="F75" i="11"/>
  <c r="E22" i="11"/>
  <c r="F22" i="11"/>
  <c r="E38" i="11"/>
  <c r="F38" i="11" s="1"/>
  <c r="E56" i="11"/>
  <c r="F56" i="11"/>
  <c r="E61" i="11"/>
  <c r="F61" i="11" s="1"/>
  <c r="E112" i="10"/>
  <c r="E113" i="10"/>
  <c r="F113" i="10"/>
  <c r="F206" i="9"/>
  <c r="E198" i="9"/>
  <c r="F198" i="9" s="1"/>
  <c r="E199" i="9"/>
  <c r="F199" i="9"/>
  <c r="C20" i="8"/>
  <c r="C21" i="8"/>
  <c r="C140" i="8"/>
  <c r="C138" i="8"/>
  <c r="C136" i="8"/>
  <c r="C139" i="8"/>
  <c r="C137" i="8"/>
  <c r="C141" i="8" s="1"/>
  <c r="C135" i="8"/>
  <c r="E157" i="8"/>
  <c r="E155" i="8"/>
  <c r="E153" i="8"/>
  <c r="E156" i="8"/>
  <c r="E154" i="8"/>
  <c r="E152" i="8"/>
  <c r="E158" i="8" s="1"/>
  <c r="D156" i="8"/>
  <c r="D158" i="8" s="1"/>
  <c r="D154" i="8"/>
  <c r="D152" i="8"/>
  <c r="D157" i="8"/>
  <c r="D155" i="8"/>
  <c r="D153" i="8"/>
  <c r="D139" i="8"/>
  <c r="D137" i="8"/>
  <c r="D135" i="8"/>
  <c r="D140" i="8"/>
  <c r="D138" i="8"/>
  <c r="D136" i="8"/>
  <c r="C157" i="8"/>
  <c r="C17" i="8"/>
  <c r="C43" i="8"/>
  <c r="D49" i="8"/>
  <c r="C53" i="8"/>
  <c r="D77" i="8"/>
  <c r="D71" i="8"/>
  <c r="C49" i="8"/>
  <c r="E90" i="7"/>
  <c r="F90" i="7" s="1"/>
  <c r="E183" i="7"/>
  <c r="F183" i="7"/>
  <c r="E41" i="6"/>
  <c r="F41" i="6" s="1"/>
  <c r="E84" i="6"/>
  <c r="F84" i="6" s="1"/>
  <c r="E18" i="5"/>
  <c r="E16" i="5"/>
  <c r="E56" i="4"/>
  <c r="F56" i="4"/>
  <c r="E53" i="22"/>
  <c r="E45" i="22"/>
  <c r="E39" i="22"/>
  <c r="E35" i="22"/>
  <c r="E29" i="22"/>
  <c r="E112" i="22" s="1"/>
  <c r="E110" i="22"/>
  <c r="C54" i="22"/>
  <c r="C46" i="22"/>
  <c r="C40" i="22"/>
  <c r="C36" i="22"/>
  <c r="C30" i="22"/>
  <c r="C38" i="22" s="1"/>
  <c r="C53" i="22"/>
  <c r="C45" i="22"/>
  <c r="C39" i="22"/>
  <c r="C35" i="22"/>
  <c r="C29" i="22"/>
  <c r="E111" i="22"/>
  <c r="E54" i="22"/>
  <c r="E46" i="22"/>
  <c r="E40" i="22"/>
  <c r="E36" i="22"/>
  <c r="E30" i="22"/>
  <c r="E38" i="22" s="1"/>
  <c r="D110" i="22"/>
  <c r="D53" i="22"/>
  <c r="D45" i="22"/>
  <c r="D39" i="22"/>
  <c r="D35" i="22"/>
  <c r="D29" i="22"/>
  <c r="F43" i="20"/>
  <c r="E46" i="20"/>
  <c r="F46" i="20" s="1"/>
  <c r="C259" i="18"/>
  <c r="E76" i="18"/>
  <c r="C77" i="18"/>
  <c r="C115" i="18" s="1"/>
  <c r="D246" i="18"/>
  <c r="D235" i="18"/>
  <c r="C211" i="18"/>
  <c r="C234" i="18"/>
  <c r="E234" i="18" s="1"/>
  <c r="E252" i="18"/>
  <c r="E260" i="18"/>
  <c r="D181" i="18"/>
  <c r="D169" i="18"/>
  <c r="C180" i="18"/>
  <c r="E180" i="18" s="1"/>
  <c r="C145" i="18"/>
  <c r="C168" i="18"/>
  <c r="E168" i="18"/>
  <c r="E71" i="18"/>
  <c r="D126" i="18"/>
  <c r="D123" i="18"/>
  <c r="D121" i="18"/>
  <c r="D110" i="18"/>
  <c r="E22" i="18"/>
  <c r="E326" i="18"/>
  <c r="D330" i="18"/>
  <c r="E330" i="18"/>
  <c r="D310" i="18"/>
  <c r="E259" i="18"/>
  <c r="D103" i="18"/>
  <c r="D264" i="18"/>
  <c r="D266" i="18" s="1"/>
  <c r="C271" i="17"/>
  <c r="C268" i="17"/>
  <c r="C263" i="17"/>
  <c r="F274" i="17"/>
  <c r="E267" i="17"/>
  <c r="F267" i="17"/>
  <c r="E199" i="17"/>
  <c r="F199" i="17"/>
  <c r="E290" i="17"/>
  <c r="F290" i="17" s="1"/>
  <c r="E200" i="17"/>
  <c r="E206" i="17"/>
  <c r="D271" i="17"/>
  <c r="D268" i="17"/>
  <c r="E268" i="17" s="1"/>
  <c r="F268" i="17" s="1"/>
  <c r="E261" i="17"/>
  <c r="F261" i="17"/>
  <c r="D263" i="17"/>
  <c r="E263" i="17" s="1"/>
  <c r="F277" i="17"/>
  <c r="D287" i="17"/>
  <c r="D284" i="17"/>
  <c r="D255" i="17"/>
  <c r="E124" i="17"/>
  <c r="F138" i="17"/>
  <c r="C140" i="17"/>
  <c r="C105" i="17"/>
  <c r="C300" i="17"/>
  <c r="F200" i="17"/>
  <c r="D286" i="17"/>
  <c r="E193" i="17"/>
  <c r="F193" i="17"/>
  <c r="D194" i="17"/>
  <c r="E194" i="17" s="1"/>
  <c r="F194" i="17" s="1"/>
  <c r="D300" i="17"/>
  <c r="E264" i="17"/>
  <c r="F264" i="17" s="1"/>
  <c r="E280" i="17"/>
  <c r="F280" i="17" s="1"/>
  <c r="E214" i="17"/>
  <c r="F214" i="17" s="1"/>
  <c r="D254" i="17"/>
  <c r="D216" i="17"/>
  <c r="C194" i="17"/>
  <c r="C196" i="17"/>
  <c r="D161" i="17"/>
  <c r="D126" i="17"/>
  <c r="E126" i="17" s="1"/>
  <c r="F126" i="17" s="1"/>
  <c r="E21" i="17"/>
  <c r="D282" i="17"/>
  <c r="E282" i="17" s="1"/>
  <c r="F282" i="17" s="1"/>
  <c r="E262" i="17"/>
  <c r="F262" i="17"/>
  <c r="E278" i="17"/>
  <c r="C161" i="17"/>
  <c r="C126" i="17"/>
  <c r="C127" i="17" s="1"/>
  <c r="C91" i="17"/>
  <c r="F21" i="17"/>
  <c r="C282" i="17"/>
  <c r="D139" i="17"/>
  <c r="E139" i="17" s="1"/>
  <c r="D104" i="17"/>
  <c r="F61" i="17"/>
  <c r="E103" i="17"/>
  <c r="F103" i="17"/>
  <c r="C174" i="17"/>
  <c r="C139" i="17"/>
  <c r="C104" i="17"/>
  <c r="E104" i="17" s="1"/>
  <c r="E22" i="13"/>
  <c r="C34" i="12"/>
  <c r="C42" i="12" s="1"/>
  <c r="C49" i="12" s="1"/>
  <c r="C112" i="8"/>
  <c r="C111" i="8" s="1"/>
  <c r="C28" i="8"/>
  <c r="C22" i="8" s="1"/>
  <c r="D35" i="5"/>
  <c r="D43" i="5" s="1"/>
  <c r="E21" i="5"/>
  <c r="F21" i="5" s="1"/>
  <c r="C35" i="5"/>
  <c r="E113" i="22"/>
  <c r="E56" i="22"/>
  <c r="C56" i="22"/>
  <c r="C48" i="22"/>
  <c r="C55" i="22"/>
  <c r="C47" i="22"/>
  <c r="C37" i="22"/>
  <c r="E55" i="22"/>
  <c r="E47" i="22"/>
  <c r="E37" i="22"/>
  <c r="C169" i="18"/>
  <c r="E169" i="18"/>
  <c r="C127" i="18"/>
  <c r="C114" i="18"/>
  <c r="C112" i="18"/>
  <c r="C113" i="18"/>
  <c r="E77" i="18"/>
  <c r="E145" i="18"/>
  <c r="E211" i="18"/>
  <c r="C162" i="17"/>
  <c r="C183" i="17" s="1"/>
  <c r="F104" i="17"/>
  <c r="F139" i="17"/>
  <c r="C281" i="17"/>
  <c r="D127" i="17"/>
  <c r="E127" i="17" s="1"/>
  <c r="C106" i="17"/>
  <c r="C176" i="17"/>
  <c r="E271" i="17"/>
  <c r="F271" i="17"/>
  <c r="E254" i="17"/>
  <c r="F254" i="17" s="1"/>
  <c r="D281" i="17"/>
  <c r="E281" i="17" s="1"/>
  <c r="C141" i="17"/>
  <c r="F263" i="17"/>
  <c r="E35" i="5"/>
  <c r="F35" i="5" s="1"/>
  <c r="C43" i="5"/>
  <c r="C322" i="17"/>
  <c r="C211" i="17"/>
  <c r="C197" i="17"/>
  <c r="F281" i="17"/>
  <c r="C323" i="17"/>
  <c r="D50" i="5"/>
  <c r="E43" i="5"/>
  <c r="D63" i="17" l="1"/>
  <c r="E50" i="5"/>
  <c r="D289" i="17"/>
  <c r="C287" i="17"/>
  <c r="E287" i="17" s="1"/>
  <c r="C284" i="17"/>
  <c r="C286" i="17"/>
  <c r="E283" i="17"/>
  <c r="F283" i="17" s="1"/>
  <c r="E37" i="17"/>
  <c r="F37" i="17"/>
  <c r="H33" i="14"/>
  <c r="H36" i="14" s="1"/>
  <c r="H38" i="14" s="1"/>
  <c r="H40" i="14" s="1"/>
  <c r="F36" i="14"/>
  <c r="F38" i="14" s="1"/>
  <c r="F40" i="14" s="1"/>
  <c r="D172" i="17"/>
  <c r="E171" i="17"/>
  <c r="F171" i="17" s="1"/>
  <c r="C284" i="18"/>
  <c r="E284" i="18" s="1"/>
  <c r="E55" i="18"/>
  <c r="D291" i="17"/>
  <c r="E286" i="17"/>
  <c r="C101" i="18"/>
  <c r="E101" i="18" s="1"/>
  <c r="F167" i="7"/>
  <c r="D25" i="8"/>
  <c r="D27" i="8" s="1"/>
  <c r="D15" i="8"/>
  <c r="E53" i="17"/>
  <c r="F53" i="17" s="1"/>
  <c r="C99" i="8"/>
  <c r="C101" i="8" s="1"/>
  <c r="C98" i="8" s="1"/>
  <c r="D195" i="17"/>
  <c r="D17" i="13"/>
  <c r="D28" i="13" s="1"/>
  <c r="D70" i="13" s="1"/>
  <c r="D72" i="13" s="1"/>
  <c r="D69" i="13" s="1"/>
  <c r="C235" i="18"/>
  <c r="D288" i="17"/>
  <c r="D279" i="17"/>
  <c r="E279" i="17" s="1"/>
  <c r="E316" i="18"/>
  <c r="D320" i="18"/>
  <c r="E320" i="18" s="1"/>
  <c r="C92" i="17"/>
  <c r="D37" i="22"/>
  <c r="D112" i="22"/>
  <c r="D55" i="22"/>
  <c r="D47" i="22"/>
  <c r="D34" i="12"/>
  <c r="E20" i="12"/>
  <c r="F20" i="12" s="1"/>
  <c r="E261" i="18"/>
  <c r="C263" i="18"/>
  <c r="E263" i="18" s="1"/>
  <c r="D115" i="18"/>
  <c r="E115" i="18" s="1"/>
  <c r="D114" i="18"/>
  <c r="E114" i="18" s="1"/>
  <c r="D113" i="18"/>
  <c r="E113" i="18" s="1"/>
  <c r="D112" i="18"/>
  <c r="E112" i="18" s="1"/>
  <c r="D127" i="18"/>
  <c r="E127" i="18" s="1"/>
  <c r="D124" i="18"/>
  <c r="D122" i="18"/>
  <c r="D111" i="18"/>
  <c r="E111" i="18" s="1"/>
  <c r="D109" i="18"/>
  <c r="D125" i="18"/>
  <c r="E125" i="18" s="1"/>
  <c r="D89" i="17"/>
  <c r="E88" i="17"/>
  <c r="F88" i="17" s="1"/>
  <c r="C148" i="17"/>
  <c r="F127" i="17"/>
  <c r="E161" i="17"/>
  <c r="F161" i="17" s="1"/>
  <c r="D162" i="17"/>
  <c r="E300" i="17"/>
  <c r="F300" i="17"/>
  <c r="D267" i="18"/>
  <c r="D105" i="18"/>
  <c r="D43" i="4"/>
  <c r="E22" i="4"/>
  <c r="F22" i="4" s="1"/>
  <c r="D65" i="4"/>
  <c r="E65" i="4" s="1"/>
  <c r="F65" i="4" s="1"/>
  <c r="E61" i="4"/>
  <c r="C95" i="6"/>
  <c r="C85" i="18"/>
  <c r="E85" i="18" s="1"/>
  <c r="C258" i="18"/>
  <c r="C96" i="18"/>
  <c r="C100" i="18"/>
  <c r="C99" i="18"/>
  <c r="E99" i="18" s="1"/>
  <c r="C98" i="18"/>
  <c r="E98" i="18" s="1"/>
  <c r="C97" i="18"/>
  <c r="E97" i="18" s="1"/>
  <c r="C95" i="18"/>
  <c r="C89" i="18"/>
  <c r="E89" i="18" s="1"/>
  <c r="C87" i="18"/>
  <c r="E87" i="18" s="1"/>
  <c r="C88" i="18"/>
  <c r="E88" i="18" s="1"/>
  <c r="C84" i="18"/>
  <c r="E44" i="18"/>
  <c r="C83" i="18"/>
  <c r="F43" i="5"/>
  <c r="C50" i="5"/>
  <c r="E48" i="22"/>
  <c r="D304" i="17"/>
  <c r="D273" i="17"/>
  <c r="E123" i="18"/>
  <c r="C110" i="18"/>
  <c r="C116" i="18" s="1"/>
  <c r="C111" i="18"/>
  <c r="C125" i="18"/>
  <c r="C126" i="18"/>
  <c r="E126" i="18" s="1"/>
  <c r="C123" i="18"/>
  <c r="C124" i="18"/>
  <c r="C109" i="18"/>
  <c r="C117" i="18" s="1"/>
  <c r="C121" i="18"/>
  <c r="C129" i="18" s="1"/>
  <c r="C122" i="18"/>
  <c r="C128" i="18" s="1"/>
  <c r="F85" i="6"/>
  <c r="C155" i="8"/>
  <c r="C153" i="8"/>
  <c r="C152" i="8"/>
  <c r="C156" i="8"/>
  <c r="C154" i="8"/>
  <c r="E284" i="17"/>
  <c r="D105" i="17"/>
  <c r="D140" i="17"/>
  <c r="E32" i="17"/>
  <c r="F32" i="17" s="1"/>
  <c r="D38" i="22"/>
  <c r="D113" i="22"/>
  <c r="D56" i="22"/>
  <c r="D48" i="22"/>
  <c r="D41" i="4"/>
  <c r="E41" i="4" s="1"/>
  <c r="F41" i="4" s="1"/>
  <c r="E38" i="4"/>
  <c r="F38" i="4" s="1"/>
  <c r="F43" i="6"/>
  <c r="E49" i="8"/>
  <c r="E43" i="8"/>
  <c r="E53" i="8"/>
  <c r="E57" i="8"/>
  <c r="E62" i="8" s="1"/>
  <c r="C48" i="17"/>
  <c r="E47" i="17"/>
  <c r="F47" i="17"/>
  <c r="C266" i="17"/>
  <c r="F279" i="17"/>
  <c r="C255" i="17"/>
  <c r="E255" i="17" s="1"/>
  <c r="C205" i="17"/>
  <c r="C285" i="17"/>
  <c r="C215" i="17"/>
  <c r="E245" i="18"/>
  <c r="D253" i="18"/>
  <c r="C108" i="22"/>
  <c r="C111" i="22"/>
  <c r="C210" i="17"/>
  <c r="C181" i="18"/>
  <c r="E181" i="18" s="1"/>
  <c r="C62" i="17"/>
  <c r="F18" i="5"/>
  <c r="F124" i="17"/>
  <c r="E222" i="18"/>
  <c r="C223" i="18"/>
  <c r="C254" i="18"/>
  <c r="C306" i="18"/>
  <c r="F39" i="20"/>
  <c r="E41" i="20"/>
  <c r="F41" i="20" s="1"/>
  <c r="F41" i="5"/>
  <c r="F90" i="6"/>
  <c r="E15" i="8"/>
  <c r="E25" i="8"/>
  <c r="E27" i="8" s="1"/>
  <c r="D160" i="17"/>
  <c r="D90" i="17"/>
  <c r="C208" i="17"/>
  <c r="D141" i="8"/>
  <c r="F46" i="6"/>
  <c r="F95" i="7"/>
  <c r="F118" i="10"/>
  <c r="C24" i="13"/>
  <c r="C20" i="13" s="1"/>
  <c r="C17" i="13"/>
  <c r="C28" i="13" s="1"/>
  <c r="F206" i="17"/>
  <c r="D196" i="17"/>
  <c r="E100" i="18"/>
  <c r="E60" i="10"/>
  <c r="F60" i="10" s="1"/>
  <c r="C121" i="10"/>
  <c r="F112" i="10"/>
  <c r="F115" i="10"/>
  <c r="E118" i="10"/>
  <c r="E20" i="13"/>
  <c r="E21" i="13"/>
  <c r="C113" i="22"/>
  <c r="E235" i="18"/>
  <c r="C110" i="22"/>
  <c r="E204" i="17"/>
  <c r="F204" i="17" s="1"/>
  <c r="F16" i="5"/>
  <c r="F38" i="6"/>
  <c r="D95" i="7"/>
  <c r="E95" i="7" s="1"/>
  <c r="D59" i="13"/>
  <c r="D61" i="13" s="1"/>
  <c r="D57" i="13" s="1"/>
  <c r="D48" i="13"/>
  <c r="D42" i="13" s="1"/>
  <c r="C112" i="22"/>
  <c r="F278" i="17"/>
  <c r="C269" i="17"/>
  <c r="C272" i="17" s="1"/>
  <c r="F29" i="4"/>
  <c r="C43" i="4"/>
  <c r="F61" i="4"/>
  <c r="E38" i="6"/>
  <c r="E43" i="6"/>
  <c r="F121" i="7"/>
  <c r="D49" i="17"/>
  <c r="C66" i="18"/>
  <c r="E33" i="5"/>
  <c r="F33" i="5" s="1"/>
  <c r="F44" i="6"/>
  <c r="F81" i="6"/>
  <c r="E92" i="6"/>
  <c r="F92" i="6" s="1"/>
  <c r="F41" i="7"/>
  <c r="E59" i="7"/>
  <c r="F59" i="7"/>
  <c r="E77" i="8"/>
  <c r="E71" i="8" s="1"/>
  <c r="E88" i="8"/>
  <c r="E90" i="8" s="1"/>
  <c r="E86" i="8" s="1"/>
  <c r="F47" i="12"/>
  <c r="E47" i="12"/>
  <c r="E17" i="16"/>
  <c r="F17" i="16"/>
  <c r="D75" i="4"/>
  <c r="E75" i="4" s="1"/>
  <c r="F75" i="4" s="1"/>
  <c r="E47" i="6"/>
  <c r="F47" i="6" s="1"/>
  <c r="E86" i="6"/>
  <c r="F86" i="6" s="1"/>
  <c r="E153" i="6"/>
  <c r="F153" i="6" s="1"/>
  <c r="E35" i="7"/>
  <c r="F35" i="7" s="1"/>
  <c r="F179" i="9"/>
  <c r="E179" i="9"/>
  <c r="F25" i="6"/>
  <c r="D52" i="6"/>
  <c r="E52" i="6" s="1"/>
  <c r="F52" i="6" s="1"/>
  <c r="F42" i="6"/>
  <c r="E90" i="6"/>
  <c r="F24" i="7"/>
  <c r="E30" i="7"/>
  <c r="F30" i="7" s="1"/>
  <c r="F100" i="15"/>
  <c r="F48" i="5"/>
  <c r="E45" i="6"/>
  <c r="F45" i="6" s="1"/>
  <c r="E51" i="6"/>
  <c r="F51" i="6" s="1"/>
  <c r="D95" i="6"/>
  <c r="E95" i="6" s="1"/>
  <c r="F91" i="6"/>
  <c r="E167" i="7"/>
  <c r="F205" i="9"/>
  <c r="F67" i="17"/>
  <c r="D43" i="8"/>
  <c r="E207" i="9"/>
  <c r="F207" i="9" s="1"/>
  <c r="F116" i="10"/>
  <c r="F119" i="10"/>
  <c r="C146" i="17"/>
  <c r="D181" i="17"/>
  <c r="E181" i="17" s="1"/>
  <c r="F181" i="17" s="1"/>
  <c r="E75" i="9"/>
  <c r="F75" i="9" s="1"/>
  <c r="E201" i="9"/>
  <c r="F201" i="9" s="1"/>
  <c r="E35" i="10"/>
  <c r="F35" i="10" s="1"/>
  <c r="E146" i="17"/>
  <c r="E149" i="8"/>
  <c r="C208" i="9"/>
  <c r="E23" i="10"/>
  <c r="E71" i="10"/>
  <c r="D122" i="10"/>
  <c r="E122" i="10" s="1"/>
  <c r="F122" i="10" s="1"/>
  <c r="E65" i="11"/>
  <c r="F65" i="11" s="1"/>
  <c r="E40" i="12"/>
  <c r="F40" i="12" s="1"/>
  <c r="E80" i="13"/>
  <c r="E77" i="13" s="1"/>
  <c r="E205" i="9"/>
  <c r="F114" i="10"/>
  <c r="F117" i="10"/>
  <c r="E120" i="10"/>
  <c r="F120" i="10" s="1"/>
  <c r="D27" i="13"/>
  <c r="F58" i="15"/>
  <c r="F13" i="16"/>
  <c r="F52" i="17"/>
  <c r="F58" i="17"/>
  <c r="E50" i="9"/>
  <c r="F50" i="9" s="1"/>
  <c r="D208" i="9"/>
  <c r="E208" i="9" s="1"/>
  <c r="E108" i="10"/>
  <c r="F108" i="10" s="1"/>
  <c r="C61" i="13"/>
  <c r="C57" i="13" s="1"/>
  <c r="D68" i="17"/>
  <c r="E68" i="17" s="1"/>
  <c r="F68" i="17" s="1"/>
  <c r="F230" i="17"/>
  <c r="E25" i="20"/>
  <c r="F25" i="20" s="1"/>
  <c r="F34" i="20"/>
  <c r="F45" i="20"/>
  <c r="F19" i="21"/>
  <c r="F237" i="17"/>
  <c r="D289" i="18"/>
  <c r="E289" i="18" s="1"/>
  <c r="D217" i="18"/>
  <c r="F36" i="20"/>
  <c r="C48" i="13"/>
  <c r="C42" i="13" s="1"/>
  <c r="C273" i="17" l="1"/>
  <c r="E273" i="17" s="1"/>
  <c r="F272" i="17"/>
  <c r="E272" i="17"/>
  <c r="E109" i="18"/>
  <c r="E140" i="17"/>
  <c r="F140" i="17" s="1"/>
  <c r="D141" i="17"/>
  <c r="C131" i="18"/>
  <c r="D116" i="18"/>
  <c r="E116" i="18" s="1"/>
  <c r="D305" i="17"/>
  <c r="F208" i="9"/>
  <c r="F62" i="17"/>
  <c r="C63" i="17"/>
  <c r="E215" i="17"/>
  <c r="F215" i="17"/>
  <c r="C216" i="17"/>
  <c r="D106" i="17"/>
  <c r="E106" i="17" s="1"/>
  <c r="F106" i="17" s="1"/>
  <c r="E105" i="17"/>
  <c r="F105" i="17" s="1"/>
  <c r="C158" i="8"/>
  <c r="C90" i="18"/>
  <c r="E90" i="18" s="1"/>
  <c r="E121" i="18"/>
  <c r="D128" i="18"/>
  <c r="E122" i="18"/>
  <c r="E110" i="18"/>
  <c r="E135" i="8"/>
  <c r="E138" i="8"/>
  <c r="E137" i="8"/>
  <c r="E139" i="8"/>
  <c r="E140" i="8"/>
  <c r="E136" i="8"/>
  <c r="F146" i="17"/>
  <c r="E84" i="18"/>
  <c r="E196" i="17"/>
  <c r="F196" i="17" s="1"/>
  <c r="D197" i="17"/>
  <c r="E197" i="17" s="1"/>
  <c r="F197" i="17" s="1"/>
  <c r="C209" i="17"/>
  <c r="F285" i="17"/>
  <c r="E285" i="17"/>
  <c r="C288" i="17"/>
  <c r="C291" i="17" s="1"/>
  <c r="E48" i="17"/>
  <c r="F48" i="17" s="1"/>
  <c r="C49" i="17"/>
  <c r="C160" i="17"/>
  <c r="C125" i="17"/>
  <c r="C90" i="17"/>
  <c r="C195" i="17"/>
  <c r="E304" i="17"/>
  <c r="F304" i="17" s="1"/>
  <c r="E96" i="18"/>
  <c r="C102" i="18"/>
  <c r="E102" i="18" s="1"/>
  <c r="D268" i="18"/>
  <c r="D269" i="18"/>
  <c r="E124" i="18"/>
  <c r="E288" i="17"/>
  <c r="E306" i="18"/>
  <c r="C310" i="18"/>
  <c r="E310" i="18" s="1"/>
  <c r="E205" i="17"/>
  <c r="F205" i="17" s="1"/>
  <c r="E258" i="18"/>
  <c r="C264" i="18"/>
  <c r="D42" i="12"/>
  <c r="E34" i="12"/>
  <c r="F34" i="12" s="1"/>
  <c r="C324" i="17"/>
  <c r="C113" i="17"/>
  <c r="D24" i="8"/>
  <c r="D17" i="8"/>
  <c r="E62" i="17"/>
  <c r="C270" i="17"/>
  <c r="E269" i="17"/>
  <c r="F269" i="17"/>
  <c r="C22" i="13"/>
  <c r="C70" i="13"/>
  <c r="C72" i="13" s="1"/>
  <c r="C69" i="13" s="1"/>
  <c r="E160" i="17"/>
  <c r="F255" i="17"/>
  <c r="E89" i="17"/>
  <c r="F89" i="17" s="1"/>
  <c r="D91" i="17"/>
  <c r="D21" i="8"/>
  <c r="D20" i="8"/>
  <c r="F286" i="17"/>
  <c r="E63" i="17"/>
  <c r="D254" i="18"/>
  <c r="E254" i="18" s="1"/>
  <c r="E253" i="18"/>
  <c r="E83" i="18"/>
  <c r="C91" i="18"/>
  <c r="E217" i="18"/>
  <c r="D241" i="18"/>
  <c r="E241" i="18" s="1"/>
  <c r="D21" i="13"/>
  <c r="D20" i="13"/>
  <c r="D22" i="13"/>
  <c r="E121" i="10"/>
  <c r="F121" i="10"/>
  <c r="E21" i="8"/>
  <c r="E20" i="8"/>
  <c r="E223" i="18"/>
  <c r="C247" i="18"/>
  <c r="E247" i="18" s="1"/>
  <c r="F50" i="5"/>
  <c r="E95" i="18"/>
  <c r="C103" i="18"/>
  <c r="E103" i="18" s="1"/>
  <c r="E43" i="4"/>
  <c r="F43" i="4" s="1"/>
  <c r="E172" i="17"/>
  <c r="F172" i="17" s="1"/>
  <c r="D207" i="17"/>
  <c r="D173" i="17"/>
  <c r="F284" i="17"/>
  <c r="D50" i="17"/>
  <c r="E49" i="17"/>
  <c r="E266" i="17"/>
  <c r="F266" i="17" s="1"/>
  <c r="C265" i="17"/>
  <c r="E66" i="18"/>
  <c r="C295" i="18"/>
  <c r="E295" i="18" s="1"/>
  <c r="E24" i="8"/>
  <c r="E17" i="8"/>
  <c r="F95" i="6"/>
  <c r="E162" i="17"/>
  <c r="F162" i="17" s="1"/>
  <c r="E195" i="17"/>
  <c r="C289" i="17"/>
  <c r="F287" i="17"/>
  <c r="C305" i="17" l="1"/>
  <c r="E291" i="17"/>
  <c r="F291" i="17" s="1"/>
  <c r="C105" i="18"/>
  <c r="E105" i="18" s="1"/>
  <c r="E91" i="18"/>
  <c r="D271" i="18"/>
  <c r="E125" i="17"/>
  <c r="F125" i="17" s="1"/>
  <c r="D322" i="17"/>
  <c r="E322" i="17" s="1"/>
  <c r="F322" i="17" s="1"/>
  <c r="E141" i="17"/>
  <c r="F141" i="17" s="1"/>
  <c r="D148" i="17"/>
  <c r="E148" i="17" s="1"/>
  <c r="F148" i="17" s="1"/>
  <c r="D92" i="17"/>
  <c r="E91" i="17"/>
  <c r="F91" i="17" s="1"/>
  <c r="F160" i="17"/>
  <c r="F63" i="17"/>
  <c r="F289" i="17"/>
  <c r="E112" i="8"/>
  <c r="E111" i="8" s="1"/>
  <c r="E28" i="8"/>
  <c r="D70" i="17"/>
  <c r="E270" i="17"/>
  <c r="F270" i="17"/>
  <c r="D49" i="12"/>
  <c r="E49" i="12" s="1"/>
  <c r="F49" i="12" s="1"/>
  <c r="E42" i="12"/>
  <c r="F42" i="12" s="1"/>
  <c r="E90" i="17"/>
  <c r="F90" i="17" s="1"/>
  <c r="E289" i="17"/>
  <c r="F49" i="17"/>
  <c r="C50" i="17"/>
  <c r="E141" i="8"/>
  <c r="D117" i="18"/>
  <c r="E173" i="17"/>
  <c r="F173" i="17" s="1"/>
  <c r="D175" i="17"/>
  <c r="D174" i="17"/>
  <c r="E174" i="17" s="1"/>
  <c r="F174" i="17" s="1"/>
  <c r="D28" i="8"/>
  <c r="D112" i="8"/>
  <c r="D111" i="8" s="1"/>
  <c r="C266" i="18"/>
  <c r="E264" i="18"/>
  <c r="E305" i="17"/>
  <c r="D309" i="17"/>
  <c r="C325" i="17"/>
  <c r="E207" i="17"/>
  <c r="F207" i="17" s="1"/>
  <c r="D208" i="17"/>
  <c r="F288" i="17"/>
  <c r="E265" i="17"/>
  <c r="F265" i="17"/>
  <c r="F195" i="17"/>
  <c r="E128" i="18"/>
  <c r="D129" i="18"/>
  <c r="E129" i="18" s="1"/>
  <c r="E216" i="17"/>
  <c r="F216" i="17" s="1"/>
  <c r="F273" i="17"/>
  <c r="E309" i="17" l="1"/>
  <c r="D310" i="17"/>
  <c r="E266" i="18"/>
  <c r="C267" i="18"/>
  <c r="C70" i="17"/>
  <c r="E50" i="17"/>
  <c r="F50" i="17" s="1"/>
  <c r="D113" i="17"/>
  <c r="E113" i="17" s="1"/>
  <c r="F113" i="17" s="1"/>
  <c r="E92" i="17"/>
  <c r="F92" i="17" s="1"/>
  <c r="D324" i="17"/>
  <c r="E208" i="17"/>
  <c r="F208" i="17" s="1"/>
  <c r="D210" i="17"/>
  <c r="D209" i="17"/>
  <c r="E209" i="17" s="1"/>
  <c r="F209" i="17" s="1"/>
  <c r="E70" i="17"/>
  <c r="E175" i="17"/>
  <c r="F175" i="17" s="1"/>
  <c r="D176" i="17"/>
  <c r="E117" i="18"/>
  <c r="D131" i="18"/>
  <c r="E131" i="18" s="1"/>
  <c r="F305" i="17"/>
  <c r="C309" i="17"/>
  <c r="D99" i="8"/>
  <c r="D101" i="8" s="1"/>
  <c r="D98" i="8" s="1"/>
  <c r="D22" i="8"/>
  <c r="E99" i="8"/>
  <c r="E101" i="8" s="1"/>
  <c r="E98" i="8" s="1"/>
  <c r="E22" i="8"/>
  <c r="E176" i="17" l="1"/>
  <c r="F176" i="17" s="1"/>
  <c r="D323" i="17"/>
  <c r="E323" i="17" s="1"/>
  <c r="F323" i="17" s="1"/>
  <c r="D183" i="17"/>
  <c r="E183" i="17" s="1"/>
  <c r="F183" i="17" s="1"/>
  <c r="F70" i="17"/>
  <c r="C310" i="17"/>
  <c r="F309" i="17"/>
  <c r="E210" i="17"/>
  <c r="F210" i="17" s="1"/>
  <c r="D211" i="17"/>
  <c r="E211" i="17" s="1"/>
  <c r="F211" i="17" s="1"/>
  <c r="C269" i="18"/>
  <c r="E269" i="18" s="1"/>
  <c r="C268" i="18"/>
  <c r="E267" i="18"/>
  <c r="E324" i="17"/>
  <c r="F324" i="17" s="1"/>
  <c r="D325" i="17"/>
  <c r="E325" i="17" s="1"/>
  <c r="F325" i="17" s="1"/>
  <c r="D312" i="17"/>
  <c r="E310" i="17"/>
  <c r="D313" i="17" l="1"/>
  <c r="C312" i="17"/>
  <c r="F310" i="17"/>
  <c r="C271" i="18"/>
  <c r="E271" i="18" s="1"/>
  <c r="E268" i="18"/>
  <c r="C313" i="17" l="1"/>
  <c r="E313" i="17" s="1"/>
  <c r="F312" i="17"/>
  <c r="E312" i="17"/>
  <c r="D315" i="17"/>
  <c r="D256" i="17"/>
  <c r="D314" i="17"/>
  <c r="D251" i="17"/>
  <c r="D257" i="17" l="1"/>
  <c r="E256" i="17"/>
  <c r="D318" i="17"/>
  <c r="E314" i="17"/>
  <c r="C251" i="17"/>
  <c r="C315" i="17"/>
  <c r="F313" i="17"/>
  <c r="C256" i="17"/>
  <c r="C314" i="17"/>
  <c r="E257" i="17" l="1"/>
  <c r="E315" i="17"/>
  <c r="F315" i="17" s="1"/>
  <c r="C318" i="17"/>
  <c r="F314" i="17"/>
  <c r="F256" i="17"/>
  <c r="C257" i="17"/>
  <c r="E251" i="17"/>
  <c r="F251" i="17" s="1"/>
  <c r="E318" i="17" l="1"/>
  <c r="F318" i="17" s="1"/>
  <c r="F257" i="17"/>
</calcChain>
</file>

<file path=xl/sharedStrings.xml><?xml version="1.0" encoding="utf-8"?>
<sst xmlns="http://schemas.openxmlformats.org/spreadsheetml/2006/main" count="2334" uniqueCount="1009">
  <si>
    <t>WILLIAM W. BACKUS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</si>
  <si>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</si>
  <si>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</si>
  <si>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</si>
  <si>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</si>
  <si>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</si>
  <si>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</si>
  <si>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</si>
  <si>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</si>
  <si>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</si>
  <si>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</si>
  <si>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</si>
  <si>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</si>
  <si>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</si>
  <si>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</si>
  <si>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</si>
  <si>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</si>
  <si>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</si>
  <si>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</si>
  <si>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</si>
  <si>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</si>
  <si>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</si>
  <si>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</si>
  <si>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</si>
  <si>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</si>
  <si>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</si>
  <si>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</si>
  <si>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</si>
  <si>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</si>
  <si>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</si>
  <si>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</si>
  <si>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</si>
  <si>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</si>
  <si>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</si>
  <si>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</si>
  <si>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</si>
  <si>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</si>
  <si>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</si>
  <si>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</si>
  <si>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</si>
  <si>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</si>
  <si>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</si>
  <si>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</si>
  <si>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</si>
  <si>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</si>
  <si>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</si>
  <si>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</si>
  <si>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</si>
  <si>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</si>
  <si>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</si>
  <si>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</si>
  <si>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</si>
  <si>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</si>
  <si>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</si>
  <si>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</si>
  <si>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</si>
  <si>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</si>
  <si>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</si>
  <si>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</si>
  <si>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</si>
  <si>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</si>
  <si>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</si>
  <si>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</si>
  <si>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</si>
  <si>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</si>
  <si>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</si>
  <si>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</si>
  <si>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</si>
  <si>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</si>
  <si>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</si>
  <si>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</si>
  <si>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</si>
  <si>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</si>
  <si>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</si>
  <si>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</si>
  <si>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</si>
  <si>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</si>
  <si>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</si>
  <si>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</si>
  <si>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</si>
  <si>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</si>
  <si>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</si>
  <si>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</si>
  <si>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</si>
  <si>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</si>
  <si>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</si>
  <si>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</si>
  <si>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</si>
  <si>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</si>
  <si>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</si>
  <si>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</si>
  <si>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</si>
  <si>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</si>
  <si>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</si>
  <si>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</si>
  <si>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</si>
  <si>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</si>
  <si>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</si>
  <si>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</si>
  <si>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</si>
  <si>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</si>
  <si>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</si>
  <si>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</si>
  <si>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</si>
  <si>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</si>
  <si>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</si>
  <si>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</si>
  <si>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</si>
  <si>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</si>
  <si>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</si>
  <si>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</si>
  <si>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</si>
  <si>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</si>
  <si>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</si>
  <si>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</si>
  <si>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</si>
  <si>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</si>
  <si>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</si>
  <si>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</si>
  <si>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</si>
  <si>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</si>
  <si>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</si>
  <si>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</si>
  <si>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</si>
  <si>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</si>
  <si>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</si>
  <si>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</si>
  <si>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</si>
  <si>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</si>
  <si>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</si>
  <si>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</si>
  <si>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</si>
  <si>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</si>
  <si>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</si>
  <si>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</si>
  <si>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</si>
  <si>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</si>
  <si>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</si>
  <si>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</si>
  <si>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</si>
  <si>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</si>
  <si>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</si>
  <si>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</si>
  <si>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</si>
  <si>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</si>
  <si>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</si>
  <si>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</si>
  <si>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</si>
  <si>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</si>
  <si>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</si>
  <si>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</si>
  <si>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</si>
  <si>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</si>
  <si>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</si>
  <si>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</si>
  <si>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</si>
  <si>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</si>
  <si>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</si>
  <si>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</si>
  <si>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</si>
  <si>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</si>
  <si>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</si>
  <si>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</si>
  <si>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</si>
  <si>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</si>
  <si>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</si>
  <si>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</si>
  <si>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</si>
  <si>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</si>
  <si>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</si>
  <si>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</si>
  <si>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</si>
  <si>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</si>
  <si>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</si>
  <si>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</si>
  <si>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</si>
  <si>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</si>
  <si>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</si>
  <si>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</si>
  <si>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</si>
  <si>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</si>
  <si>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</si>
  <si>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</si>
  <si>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</si>
  <si>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</si>
  <si>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</si>
  <si>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</si>
  <si>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</si>
  <si>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</si>
  <si>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</si>
  <si>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</si>
  <si>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</si>
  <si>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</si>
  <si>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</si>
  <si>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</si>
  <si>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</si>
  <si>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</si>
  <si>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</si>
  <si>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</si>
  <si>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</si>
  <si>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</si>
  <si>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</si>
  <si>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</si>
  <si>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</si>
  <si>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</si>
  <si>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</si>
  <si>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</si>
  <si>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</si>
  <si>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</si>
  <si>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</si>
  <si>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</si>
  <si>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</si>
  <si>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</si>
  <si>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</si>
  <si>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</si>
  <si>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</si>
  <si>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</si>
  <si>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</si>
  <si>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</si>
  <si>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</si>
  <si>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</si>
  <si>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</si>
  <si>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</si>
  <si>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</si>
  <si>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</si>
  <si>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</si>
  <si>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</si>
  <si>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</si>
  <si>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</si>
  <si>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</si>
  <si>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</si>
  <si>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</si>
  <si>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</si>
  <si>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</si>
  <si>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</si>
  <si>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</si>
  <si>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</si>
  <si>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</si>
  <si>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</si>
  <si>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</si>
  <si>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</si>
  <si>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</si>
  <si>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</si>
  <si>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</si>
  <si>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</si>
  <si>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</si>
  <si>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</si>
  <si>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</si>
  <si>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</si>
  <si>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</si>
  <si>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</si>
  <si>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</si>
  <si>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</si>
  <si>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</si>
  <si>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</si>
  <si>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</si>
  <si>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</si>
  <si>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</si>
  <si>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</si>
  <si>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</si>
  <si>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</si>
  <si>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</si>
  <si>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</si>
  <si>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</si>
  <si>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</si>
  <si>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</si>
  <si>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</si>
  <si>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</si>
  <si>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</si>
  <si>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</si>
  <si>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</si>
  <si>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</si>
  <si>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</si>
  <si>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</si>
  <si>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</si>
  <si>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</si>
  <si>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</si>
  <si>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</si>
  <si>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</si>
  <si>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</si>
  <si>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</si>
  <si>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</si>
  <si>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</si>
  <si>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</si>
  <si>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</si>
  <si>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</si>
  <si>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</si>
  <si>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</si>
  <si>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</si>
  <si>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</si>
  <si>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</si>
  <si>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</si>
  <si>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</si>
  <si>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</si>
  <si>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</si>
  <si>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</si>
  <si>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</si>
  <si>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</si>
  <si>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</si>
  <si>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</si>
  <si>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</si>
  <si>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</si>
  <si>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</si>
  <si>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</si>
  <si>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</si>
  <si>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</si>
  <si>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</si>
  <si>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</si>
  <si>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</si>
  <si>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</si>
  <si>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</si>
  <si>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</si>
  <si>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</si>
  <si>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</si>
  <si>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</si>
  <si>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</si>
  <si>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</si>
  <si>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</si>
  <si>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</si>
  <si>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</si>
  <si>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</si>
  <si>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</si>
  <si>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</si>
  <si>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</si>
  <si>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</si>
  <si>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</si>
  <si>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</si>
  <si>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</si>
  <si>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</si>
  <si>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</si>
  <si>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</si>
  <si>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</si>
  <si>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</si>
  <si>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</si>
  <si>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</si>
  <si>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</si>
  <si>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</si>
  <si>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</si>
  <si>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</si>
  <si>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</si>
  <si>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</si>
  <si>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</si>
  <si>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</si>
  <si>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</si>
  <si>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</si>
  <si>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</si>
  <si>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</si>
  <si>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</si>
  <si>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</si>
  <si>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</si>
  <si>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</si>
  <si>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</si>
  <si>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</si>
  <si>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</si>
  <si>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</si>
  <si>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</si>
  <si>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</si>
  <si>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</si>
  <si>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</si>
  <si>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</si>
  <si>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</si>
  <si>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</si>
  <si>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</si>
  <si>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</si>
  <si>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</si>
  <si>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</si>
  <si>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</si>
  <si>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</si>
  <si>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</si>
  <si>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</si>
  <si>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</si>
  <si>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</si>
  <si>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</si>
  <si>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</si>
  <si>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</si>
  <si>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</si>
  <si>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</si>
  <si>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</si>
  <si>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</si>
  <si>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</si>
  <si>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</si>
  <si>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</si>
  <si>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</si>
  <si>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</si>
  <si>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</si>
  <si>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</si>
  <si>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</si>
  <si>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</si>
  <si>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</si>
  <si>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</si>
  <si>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</si>
  <si>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</si>
  <si>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</si>
  <si>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</si>
  <si>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</si>
  <si>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</si>
  <si>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</si>
  <si>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</si>
  <si>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</si>
  <si>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</si>
  <si>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</si>
  <si>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</si>
  <si>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</si>
  <si>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</si>
  <si>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</si>
  <si>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</si>
  <si>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</si>
  <si>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</si>
  <si>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</si>
  <si>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</si>
  <si>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</si>
  <si>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</si>
  <si>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</si>
  <si>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</si>
  <si>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</si>
  <si>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</si>
  <si>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</si>
  <si>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</si>
  <si>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</si>
  <si>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</si>
  <si>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</si>
  <si>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</si>
  <si>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</si>
  <si>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</si>
  <si>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</si>
  <si>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</si>
  <si>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</si>
  <si>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</si>
  <si>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</si>
  <si>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</si>
  <si>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</si>
  <si>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</si>
  <si>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</si>
  <si>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</si>
  <si>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</si>
  <si>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</si>
  <si>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</si>
  <si>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</si>
  <si>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</si>
  <si>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</si>
  <si>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</si>
  <si>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</si>
  <si>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</si>
  <si>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</si>
  <si>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</si>
  <si>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</si>
  <si>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</si>
  <si>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</si>
  <si>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</si>
  <si>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</si>
  <si>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</si>
  <si>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</si>
  <si>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</si>
  <si>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</si>
  <si>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</si>
  <si>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</si>
  <si>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</si>
  <si>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</si>
  <si>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</si>
  <si>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</si>
  <si>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</si>
  <si>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</si>
  <si>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</si>
  <si>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</si>
  <si>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</si>
  <si>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</si>
  <si>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</si>
  <si>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</si>
  <si>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</si>
  <si>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</si>
  <si>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</si>
  <si>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</si>
  <si>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</si>
  <si>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</si>
  <si>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</si>
  <si>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</si>
  <si>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</si>
  <si>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</si>
  <si>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</si>
  <si>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</si>
  <si>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</si>
  <si>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</si>
  <si>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</si>
  <si>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</si>
  <si>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</si>
  <si>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</si>
  <si>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</si>
  <si>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</si>
  <si>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</si>
  <si>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</si>
  <si>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</si>
  <si>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</si>
  <si>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</si>
  <si>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</si>
  <si>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</si>
  <si>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</si>
  <si>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</si>
  <si>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</si>
  <si>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</si>
  <si>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</si>
  <si>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BACKUS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</si>
  <si>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</si>
  <si>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</si>
  <si>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</si>
  <si>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</si>
  <si>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</si>
  <si>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</si>
  <si>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</si>
  <si>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</si>
  <si>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</si>
  <si>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</si>
  <si>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</si>
  <si>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</si>
  <si>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</si>
  <si>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</si>
  <si>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</si>
  <si>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</si>
  <si>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</si>
  <si>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</si>
  <si>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</si>
  <si>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</si>
  <si>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</si>
  <si>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</si>
  <si>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</si>
  <si>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</si>
  <si>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</si>
  <si>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</si>
  <si>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</si>
  <si>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</si>
  <si>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</si>
  <si>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</si>
  <si>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</si>
  <si>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</si>
  <si>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</si>
  <si>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</si>
  <si>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</si>
  <si>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</si>
  <si>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</si>
  <si>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</si>
  <si>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</si>
  <si>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</si>
  <si>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</si>
  <si>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</si>
  <si>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</si>
  <si>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</si>
  <si>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</si>
  <si>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</si>
  <si>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</si>
  <si>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</si>
  <si>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</si>
  <si>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</si>
  <si>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</si>
  <si>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</si>
  <si>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</si>
  <si>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</si>
  <si>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</si>
  <si>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</si>
  <si>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</si>
  <si>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</si>
  <si>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</si>
  <si>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</si>
  <si>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</si>
  <si>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</si>
  <si>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</si>
  <si>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</si>
  <si>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</si>
  <si>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</si>
  <si>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</si>
  <si>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</si>
  <si>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</si>
  <si>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</si>
  <si>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</si>
  <si>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</si>
  <si>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</si>
  <si>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</si>
  <si>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</si>
  <si>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</si>
  <si>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</si>
  <si>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</si>
  <si>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</si>
  <si>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</si>
  <si>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</si>
  <si>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</si>
  <si>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</si>
  <si>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</si>
  <si>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</si>
  <si>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</si>
  <si>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</si>
  <si>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</si>
  <si>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</si>
  <si>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</si>
  <si>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</si>
  <si>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</si>
  <si>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</si>
  <si>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</si>
  <si>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</si>
  <si>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</si>
  <si>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</si>
  <si>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</si>
  <si>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</si>
  <si>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</si>
  <si>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</si>
  <si>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</si>
  <si>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</si>
  <si>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</si>
  <si>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</si>
  <si>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</si>
  <si>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</si>
  <si>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</si>
  <si>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</si>
  <si>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</si>
  <si>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</si>
  <si>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</si>
  <si>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</si>
  <si>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</si>
  <si>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</si>
  <si>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</si>
  <si>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</si>
  <si>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</si>
  <si>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</si>
  <si>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</si>
  <si>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BACKUS HOSPITAL</t>
  </si>
  <si>
    <t>Total Outpatient Surgical Procedures(A)</t>
  </si>
  <si>
    <t>Total Outpatient Endoscopy Procedures(B)</t>
  </si>
  <si>
    <t>Outpatient Hospital Emergency Room Visits</t>
  </si>
  <si>
    <t>BACKUS PLAINFIELD EMERGENCY DPT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</si>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</sst>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107428365</v>
      </c>
      <c r="D13" s="22">
        <v>132347698</v>
      </c>
      <c r="E13" s="22">
        <f t="shared" ref="E13:E22" si="0">D13-C13</f>
        <v>24919333</v>
      </c>
      <c r="F13" s="23">
        <f t="shared" ref="F13:F22" si="1">IF(C13=0,0,E13/C13)</f>
        <v>0.2319623220552598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32015340</v>
      </c>
      <c r="D15" s="22">
        <v>31013657</v>
      </c>
      <c r="E15" s="22">
        <f t="shared" si="0"/>
        <v>-1001683</v>
      </c>
      <c r="F15" s="23">
        <f t="shared" si="1"/>
        <v>-3.1287595259022707E-2</v>
      </c>
    </row>
    <row r="16" spans="1:8" ht="24" customHeight="1" x14ac:dyDescent="0.2">
      <c r="A16" s="20">
        <v>4</v>
      </c>
      <c r="B16" s="21" t="s">
        <v>19</v>
      </c>
      <c r="C16" s="22">
        <v>7433046</v>
      </c>
      <c r="D16" s="22">
        <v>6509778</v>
      </c>
      <c r="E16" s="22">
        <f t="shared" si="0"/>
        <v>-923268</v>
      </c>
      <c r="F16" s="23">
        <f t="shared" si="1"/>
        <v>-0.12421125874910501</v>
      </c>
    </row>
    <row r="17" spans="1:11" ht="24" customHeight="1" x14ac:dyDescent="0.2">
      <c r="A17" s="20">
        <v>5</v>
      </c>
      <c r="B17" s="21" t="s">
        <v>20</v>
      </c>
      <c r="C17" s="22">
        <v>564613</v>
      </c>
      <c r="D17" s="22">
        <v>218071</v>
      </c>
      <c r="E17" s="22">
        <f t="shared" si="0"/>
        <v>-346542</v>
      </c>
      <c r="F17" s="23">
        <f t="shared" si="1"/>
        <v>-0.61376907722634799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3548865</v>
      </c>
      <c r="D19" s="22">
        <v>3715171</v>
      </c>
      <c r="E19" s="22">
        <f t="shared" si="0"/>
        <v>166306</v>
      </c>
      <c r="F19" s="23">
        <f t="shared" si="1"/>
        <v>4.6861743120687881E-2</v>
      </c>
    </row>
    <row r="20" spans="1:11" ht="24" customHeight="1" x14ac:dyDescent="0.2">
      <c r="A20" s="20">
        <v>8</v>
      </c>
      <c r="B20" s="21" t="s">
        <v>23</v>
      </c>
      <c r="C20" s="22">
        <v>3309657</v>
      </c>
      <c r="D20" s="22">
        <v>2941851</v>
      </c>
      <c r="E20" s="22">
        <f t="shared" si="0"/>
        <v>-367806</v>
      </c>
      <c r="F20" s="23">
        <f t="shared" si="1"/>
        <v>-0.11113115346998194</v>
      </c>
    </row>
    <row r="21" spans="1:11" ht="24" customHeight="1" x14ac:dyDescent="0.2">
      <c r="A21" s="20">
        <v>9</v>
      </c>
      <c r="B21" s="21" t="s">
        <v>24</v>
      </c>
      <c r="C21" s="22">
        <v>31723</v>
      </c>
      <c r="D21" s="22">
        <v>29416</v>
      </c>
      <c r="E21" s="22">
        <f t="shared" si="0"/>
        <v>-2307</v>
      </c>
      <c r="F21" s="23">
        <f t="shared" si="1"/>
        <v>-7.2723260725656463E-2</v>
      </c>
    </row>
    <row r="22" spans="1:11" ht="24" customHeight="1" x14ac:dyDescent="0.25">
      <c r="A22" s="24"/>
      <c r="B22" s="25" t="s">
        <v>25</v>
      </c>
      <c r="C22" s="26">
        <f>SUM(C13:C21)</f>
        <v>154331609</v>
      </c>
      <c r="D22" s="26">
        <f>SUM(D13:D21)</f>
        <v>176775642</v>
      </c>
      <c r="E22" s="26">
        <f t="shared" si="0"/>
        <v>22444033</v>
      </c>
      <c r="F22" s="27">
        <f t="shared" si="1"/>
        <v>0.14542732461241947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30175064</v>
      </c>
      <c r="D25" s="22">
        <v>31846910</v>
      </c>
      <c r="E25" s="22">
        <f>D25-C25</f>
        <v>1671846</v>
      </c>
      <c r="F25" s="23">
        <f>IF(C25=0,0,E25/C25)</f>
        <v>5.5404886630894969E-2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109435719</v>
      </c>
      <c r="D26" s="22">
        <v>120134546</v>
      </c>
      <c r="E26" s="22">
        <f>D26-C26</f>
        <v>10698827</v>
      </c>
      <c r="F26" s="23">
        <f>IF(C26=0,0,E26/C26)</f>
        <v>9.776357388395282E-2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139610783</v>
      </c>
      <c r="D29" s="26">
        <f>SUM(D25:D28)</f>
        <v>151981456</v>
      </c>
      <c r="E29" s="26">
        <f>D29-C29</f>
        <v>12370673</v>
      </c>
      <c r="F29" s="27">
        <f>IF(C29=0,0,E29/C29)</f>
        <v>8.8608291810812354E-2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7636146</v>
      </c>
      <c r="D33" s="22">
        <v>9206465</v>
      </c>
      <c r="E33" s="22">
        <f>D33-C33</f>
        <v>1570319</v>
      </c>
      <c r="F33" s="23">
        <f>IF(C33=0,0,E33/C33)</f>
        <v>0.20564287272663462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238564796</v>
      </c>
      <c r="D36" s="22">
        <v>299604952</v>
      </c>
      <c r="E36" s="22">
        <f>D36-C36</f>
        <v>61040156</v>
      </c>
      <c r="F36" s="23">
        <f>IF(C36=0,0,E36/C36)</f>
        <v>0.2558640546445084</v>
      </c>
    </row>
    <row r="37" spans="1:8" ht="24" customHeight="1" x14ac:dyDescent="0.2">
      <c r="A37" s="20">
        <v>2</v>
      </c>
      <c r="B37" s="21" t="s">
        <v>39</v>
      </c>
      <c r="C37" s="22">
        <v>148957964</v>
      </c>
      <c r="D37" s="22">
        <v>160938198</v>
      </c>
      <c r="E37" s="22">
        <f>D37-C37</f>
        <v>11980234</v>
      </c>
      <c r="F37" s="23">
        <f>IF(C37=0,0,E37/C37)</f>
        <v>8.0426945148095605E-2</v>
      </c>
    </row>
    <row r="38" spans="1:8" ht="24" customHeight="1" x14ac:dyDescent="0.25">
      <c r="A38" s="24"/>
      <c r="B38" s="25" t="s">
        <v>40</v>
      </c>
      <c r="C38" s="26">
        <f>C36-C37</f>
        <v>89606832</v>
      </c>
      <c r="D38" s="26">
        <f>D36-D37</f>
        <v>138666754</v>
      </c>
      <c r="E38" s="26">
        <f>D38-C38</f>
        <v>49059922</v>
      </c>
      <c r="F38" s="27">
        <f>IF(C38=0,0,E38/C38)</f>
        <v>0.54750202529200009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1747654</v>
      </c>
      <c r="D40" s="22">
        <v>77152</v>
      </c>
      <c r="E40" s="22">
        <f>D40-C40</f>
        <v>-1670502</v>
      </c>
      <c r="F40" s="23">
        <f>IF(C40=0,0,E40/C40)</f>
        <v>-0.95585396193983474</v>
      </c>
    </row>
    <row r="41" spans="1:8" ht="24" customHeight="1" x14ac:dyDescent="0.25">
      <c r="A41" s="24"/>
      <c r="B41" s="25" t="s">
        <v>42</v>
      </c>
      <c r="C41" s="26">
        <f>+C38+C40</f>
        <v>91354486</v>
      </c>
      <c r="D41" s="26">
        <f>+D38+D40</f>
        <v>138743906</v>
      </c>
      <c r="E41" s="26">
        <f>D41-C41</f>
        <v>47389420</v>
      </c>
      <c r="F41" s="27">
        <f>IF(C41=0,0,E41/C41)</f>
        <v>0.51874212285535715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392933024</v>
      </c>
      <c r="D43" s="26">
        <f>D22+D29+D31+D32+D33+D41</f>
        <v>476707469</v>
      </c>
      <c r="E43" s="26">
        <f>D43-C43</f>
        <v>83774445</v>
      </c>
      <c r="F43" s="27">
        <f>IF(C43=0,0,E43/C43)</f>
        <v>0.21320286125912388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9176344</v>
      </c>
      <c r="D49" s="22">
        <v>8015358</v>
      </c>
      <c r="E49" s="22">
        <f t="shared" ref="E49:E56" si="2">D49-C49</f>
        <v>-1160986</v>
      </c>
      <c r="F49" s="23">
        <f t="shared" ref="F49:F56" si="3">IF(C49=0,0,E49/C49)</f>
        <v>-0.12651945044780361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6802151</v>
      </c>
      <c r="D50" s="22">
        <v>6965186</v>
      </c>
      <c r="E50" s="22">
        <f t="shared" si="2"/>
        <v>163035</v>
      </c>
      <c r="F50" s="23">
        <f t="shared" si="3"/>
        <v>2.3968153603176407E-2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1193235</v>
      </c>
      <c r="D51" s="22">
        <v>1828257</v>
      </c>
      <c r="E51" s="22">
        <f t="shared" si="2"/>
        <v>635022</v>
      </c>
      <c r="F51" s="23">
        <f t="shared" si="3"/>
        <v>0.53218519403135178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2045000</v>
      </c>
      <c r="D53" s="22">
        <v>2120000</v>
      </c>
      <c r="E53" s="22">
        <f t="shared" si="2"/>
        <v>75000</v>
      </c>
      <c r="F53" s="23">
        <f t="shared" si="3"/>
        <v>3.6674816625916873E-2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301210</v>
      </c>
      <c r="D54" s="22">
        <v>323472</v>
      </c>
      <c r="E54" s="22">
        <f t="shared" si="2"/>
        <v>22262</v>
      </c>
      <c r="F54" s="23">
        <f t="shared" si="3"/>
        <v>7.3908568772617117E-2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11440075</v>
      </c>
      <c r="D55" s="22">
        <v>9872877</v>
      </c>
      <c r="E55" s="22">
        <f t="shared" si="2"/>
        <v>-1567198</v>
      </c>
      <c r="F55" s="23">
        <f t="shared" si="3"/>
        <v>-0.13699193405637639</v>
      </c>
    </row>
    <row r="56" spans="1:6" ht="24" customHeight="1" x14ac:dyDescent="0.25">
      <c r="A56" s="24"/>
      <c r="B56" s="25" t="s">
        <v>54</v>
      </c>
      <c r="C56" s="26">
        <f>SUM(C49:C55)</f>
        <v>30958015</v>
      </c>
      <c r="D56" s="26">
        <f>SUM(D49:D55)</f>
        <v>29125150</v>
      </c>
      <c r="E56" s="26">
        <f t="shared" si="2"/>
        <v>-1832865</v>
      </c>
      <c r="F56" s="27">
        <f t="shared" si="3"/>
        <v>-5.9204861810422921E-2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57887276</v>
      </c>
      <c r="D59" s="22">
        <v>59885476</v>
      </c>
      <c r="E59" s="22">
        <f>D59-C59</f>
        <v>1998200</v>
      </c>
      <c r="F59" s="23">
        <f>IF(C59=0,0,E59/C59)</f>
        <v>3.4518812044291046E-2</v>
      </c>
    </row>
    <row r="60" spans="1:6" ht="24" customHeight="1" x14ac:dyDescent="0.2">
      <c r="A60" s="20">
        <v>2</v>
      </c>
      <c r="B60" s="21" t="s">
        <v>57</v>
      </c>
      <c r="C60" s="22">
        <v>7169714</v>
      </c>
      <c r="D60" s="22">
        <v>7308056</v>
      </c>
      <c r="E60" s="22">
        <f>D60-C60</f>
        <v>138342</v>
      </c>
      <c r="F60" s="23">
        <f>IF(C60=0,0,E60/C60)</f>
        <v>1.9295330329773267E-2</v>
      </c>
    </row>
    <row r="61" spans="1:6" ht="24" customHeight="1" x14ac:dyDescent="0.25">
      <c r="A61" s="24"/>
      <c r="B61" s="25" t="s">
        <v>58</v>
      </c>
      <c r="C61" s="26">
        <f>SUM(C59:C60)</f>
        <v>65056990</v>
      </c>
      <c r="D61" s="26">
        <f>SUM(D59:D60)</f>
        <v>67193532</v>
      </c>
      <c r="E61" s="26">
        <f>D61-C61</f>
        <v>2136542</v>
      </c>
      <c r="F61" s="27">
        <f>IF(C61=0,0,E61/C61)</f>
        <v>3.2841082872109517E-2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62941096</v>
      </c>
      <c r="D63" s="22">
        <v>18267625</v>
      </c>
      <c r="E63" s="22">
        <f>D63-C63</f>
        <v>-44673471</v>
      </c>
      <c r="F63" s="23">
        <f>IF(C63=0,0,E63/C63)</f>
        <v>-0.70976633454237914</v>
      </c>
    </row>
    <row r="64" spans="1:6" ht="24" customHeight="1" x14ac:dyDescent="0.2">
      <c r="A64" s="20">
        <v>4</v>
      </c>
      <c r="B64" s="21" t="s">
        <v>60</v>
      </c>
      <c r="C64" s="22">
        <v>36132879</v>
      </c>
      <c r="D64" s="22">
        <v>36648224</v>
      </c>
      <c r="E64" s="22">
        <f>D64-C64</f>
        <v>515345</v>
      </c>
      <c r="F64" s="23">
        <f>IF(C64=0,0,E64/C64)</f>
        <v>1.4262494831923026E-2</v>
      </c>
    </row>
    <row r="65" spans="1:6" ht="24" customHeight="1" x14ac:dyDescent="0.25">
      <c r="A65" s="24"/>
      <c r="B65" s="25" t="s">
        <v>61</v>
      </c>
      <c r="C65" s="26">
        <f>SUM(C61:C64)</f>
        <v>164130965</v>
      </c>
      <c r="D65" s="26">
        <f>SUM(D61:D64)</f>
        <v>122109381</v>
      </c>
      <c r="E65" s="26">
        <f>D65-C65</f>
        <v>-42021584</v>
      </c>
      <c r="F65" s="27">
        <f>IF(C65=0,0,E65/C65)</f>
        <v>-0.2560247178221367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187197385</v>
      </c>
      <c r="D70" s="22">
        <v>314099880</v>
      </c>
      <c r="E70" s="22">
        <f>D70-C70</f>
        <v>126902495</v>
      </c>
      <c r="F70" s="23">
        <f>IF(C70=0,0,E70/C70)</f>
        <v>0.67790741307630975</v>
      </c>
    </row>
    <row r="71" spans="1:6" ht="24" customHeight="1" x14ac:dyDescent="0.2">
      <c r="A71" s="20">
        <v>2</v>
      </c>
      <c r="B71" s="21" t="s">
        <v>65</v>
      </c>
      <c r="C71" s="22">
        <v>2890743</v>
      </c>
      <c r="D71" s="22">
        <v>3305592</v>
      </c>
      <c r="E71" s="22">
        <f>D71-C71</f>
        <v>414849</v>
      </c>
      <c r="F71" s="23">
        <f>IF(C71=0,0,E71/C71)</f>
        <v>0.14350947144038748</v>
      </c>
    </row>
    <row r="72" spans="1:6" ht="24" customHeight="1" x14ac:dyDescent="0.2">
      <c r="A72" s="20">
        <v>3</v>
      </c>
      <c r="B72" s="21" t="s">
        <v>66</v>
      </c>
      <c r="C72" s="22">
        <v>7755916</v>
      </c>
      <c r="D72" s="22">
        <v>8067466</v>
      </c>
      <c r="E72" s="22">
        <f>D72-C72</f>
        <v>311550</v>
      </c>
      <c r="F72" s="23">
        <f>IF(C72=0,0,E72/C72)</f>
        <v>4.0169336542582465E-2</v>
      </c>
    </row>
    <row r="73" spans="1:6" ht="24" customHeight="1" x14ac:dyDescent="0.25">
      <c r="A73" s="20"/>
      <c r="B73" s="25" t="s">
        <v>67</v>
      </c>
      <c r="C73" s="26">
        <f>SUM(C70:C72)</f>
        <v>197844044</v>
      </c>
      <c r="D73" s="26">
        <f>SUM(D70:D72)</f>
        <v>325472938</v>
      </c>
      <c r="E73" s="26">
        <f>D73-C73</f>
        <v>127628894</v>
      </c>
      <c r="F73" s="27">
        <f>IF(C73=0,0,E73/C73)</f>
        <v>0.6450984897983586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392933024</v>
      </c>
      <c r="D75" s="26">
        <f>D56+D65+D67+D73</f>
        <v>476707469</v>
      </c>
      <c r="E75" s="26">
        <f>D75-C75</f>
        <v>83774445</v>
      </c>
      <c r="F75" s="27">
        <f>IF(C75=0,0,E75/C75)</f>
        <v>0.21320286125912388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285207565</v>
      </c>
      <c r="D11" s="76">
        <v>297604077</v>
      </c>
      <c r="E11" s="76">
        <v>283823086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4981011</v>
      </c>
      <c r="D12" s="185">
        <v>7456820</v>
      </c>
      <c r="E12" s="185">
        <v>7178445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290188576</v>
      </c>
      <c r="D13" s="76">
        <f>+D11+D12</f>
        <v>305060897</v>
      </c>
      <c r="E13" s="76">
        <f>+E11+E12</f>
        <v>291001531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268647757</v>
      </c>
      <c r="D14" s="185">
        <v>281434152</v>
      </c>
      <c r="E14" s="185">
        <v>267959722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21540819</v>
      </c>
      <c r="D15" s="76">
        <f>+D13-D14</f>
        <v>23626745</v>
      </c>
      <c r="E15" s="76">
        <f>+E13-E14</f>
        <v>23041809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2038205</v>
      </c>
      <c r="D16" s="185">
        <v>14102638</v>
      </c>
      <c r="E16" s="185">
        <v>11496207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23579024</v>
      </c>
      <c r="D17" s="76">
        <f>D15+D16</f>
        <v>37729383</v>
      </c>
      <c r="E17" s="76">
        <f>E15+E16</f>
        <v>34538016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7.3712679331741332E-2</v>
      </c>
      <c r="D20" s="189">
        <f>IF(+D27=0,0,+D24/+D27)</f>
        <v>7.4027081445880091E-2</v>
      </c>
      <c r="E20" s="189">
        <f>IF(+E27=0,0,+E24/+E27)</f>
        <v>7.6171839010577988E-2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6.9747371990522659E-3</v>
      </c>
      <c r="D21" s="189">
        <f>IF(+D27=0,0,+D26/+D27)</f>
        <v>4.4186244521950163E-2</v>
      </c>
      <c r="E21" s="189">
        <f>IF(+E27=0,0,+E26/+E27)</f>
        <v>3.8004274266672369E-2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8.0687416530793601E-2</v>
      </c>
      <c r="D22" s="189">
        <f>IF(+D27=0,0,+D28/+D27)</f>
        <v>0.11821332596783025</v>
      </c>
      <c r="E22" s="189">
        <f>IF(+E27=0,0,+E28/+E27)</f>
        <v>0.11417611327725036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21540819</v>
      </c>
      <c r="D24" s="76">
        <f>+D15</f>
        <v>23626745</v>
      </c>
      <c r="E24" s="76">
        <f>+E15</f>
        <v>23041809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290188576</v>
      </c>
      <c r="D25" s="76">
        <f>+D13</f>
        <v>305060897</v>
      </c>
      <c r="E25" s="76">
        <f>+E13</f>
        <v>291001531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2038205</v>
      </c>
      <c r="D26" s="76">
        <f>+D16</f>
        <v>14102638</v>
      </c>
      <c r="E26" s="76">
        <f>+E16</f>
        <v>11496207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292226781</v>
      </c>
      <c r="D27" s="76">
        <f>SUM(D25:D26)</f>
        <v>319163535</v>
      </c>
      <c r="E27" s="76">
        <f>SUM(E25:E26)</f>
        <v>302497738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23579024</v>
      </c>
      <c r="D28" s="76">
        <f>+D17</f>
        <v>37729383</v>
      </c>
      <c r="E28" s="76">
        <f>+E17</f>
        <v>34538016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153913943</v>
      </c>
      <c r="D31" s="76">
        <v>187377643</v>
      </c>
      <c r="E31" s="76">
        <v>315932503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162762614</v>
      </c>
      <c r="D32" s="76">
        <v>198024302</v>
      </c>
      <c r="E32" s="76">
        <v>327305561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1931901</v>
      </c>
      <c r="D33" s="76">
        <f>+D32-C32</f>
        <v>35261688</v>
      </c>
      <c r="E33" s="76">
        <f>+E32-D32</f>
        <v>129281259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1.012</v>
      </c>
      <c r="D34" s="193">
        <f>IF(C32=0,0,+D33/C32)</f>
        <v>0.216644886275911</v>
      </c>
      <c r="E34" s="193">
        <f>IF(D32=0,0,+E33/D32)</f>
        <v>0.65285552174298289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4.0606028316016003</v>
      </c>
      <c r="D38" s="338">
        <f>IF(+D40=0,0,+D39/+D40)</f>
        <v>4.7372133507242831</v>
      </c>
      <c r="E38" s="338">
        <f>IF(+E40=0,0,+E39/+E40)</f>
        <v>5.7538196243769875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141187465</v>
      </c>
      <c r="D39" s="341">
        <v>156391235</v>
      </c>
      <c r="E39" s="341">
        <v>180240684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34770075</v>
      </c>
      <c r="D40" s="341">
        <v>33013340</v>
      </c>
      <c r="E40" s="341">
        <v>31325397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138.44717803015811</v>
      </c>
      <c r="D42" s="343">
        <f>IF((D48/365)=0,0,+D45/(D48/365))</f>
        <v>150.130772045425</v>
      </c>
      <c r="E42" s="343">
        <f>IF((E48/365)=0,0,+E45/(E48/365))</f>
        <v>194.6287849215293</v>
      </c>
    </row>
    <row r="43" spans="1:14" ht="24" customHeight="1" x14ac:dyDescent="0.2">
      <c r="A43" s="339">
        <v>5</v>
      </c>
      <c r="B43" s="344" t="s">
        <v>16</v>
      </c>
      <c r="C43" s="345">
        <v>95434551</v>
      </c>
      <c r="D43" s="345">
        <v>108322462</v>
      </c>
      <c r="E43" s="345">
        <v>134555183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95434551</v>
      </c>
      <c r="D45" s="341">
        <f>+D43+D44</f>
        <v>108322462</v>
      </c>
      <c r="E45" s="341">
        <f>+E43+E44</f>
        <v>134555183</v>
      </c>
    </row>
    <row r="46" spans="1:14" ht="24" customHeight="1" x14ac:dyDescent="0.2">
      <c r="A46" s="339">
        <v>8</v>
      </c>
      <c r="B46" s="340" t="s">
        <v>334</v>
      </c>
      <c r="C46" s="341">
        <f>+C14</f>
        <v>268647757</v>
      </c>
      <c r="D46" s="341">
        <f>+D14</f>
        <v>281434152</v>
      </c>
      <c r="E46" s="341">
        <f>+E14</f>
        <v>267959722</v>
      </c>
    </row>
    <row r="47" spans="1:14" ht="24" customHeight="1" x14ac:dyDescent="0.2">
      <c r="A47" s="339">
        <v>9</v>
      </c>
      <c r="B47" s="340" t="s">
        <v>356</v>
      </c>
      <c r="C47" s="341">
        <v>17045582</v>
      </c>
      <c r="D47" s="341">
        <v>18079091</v>
      </c>
      <c r="E47" s="341">
        <v>15619649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251602175</v>
      </c>
      <c r="D48" s="341">
        <f>+D46-D47</f>
        <v>263355061</v>
      </c>
      <c r="E48" s="341">
        <f>+E46-E47</f>
        <v>252340073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37.630569669496666</v>
      </c>
      <c r="D50" s="350">
        <f>IF((D55/365)=0,0,+D54/(D55/365))</f>
        <v>39.496695167922717</v>
      </c>
      <c r="E50" s="350">
        <f>IF((E55/365)=0,0,+E54/(E55/365))</f>
        <v>38.992093159046263</v>
      </c>
    </row>
    <row r="51" spans="1:5" ht="24" customHeight="1" x14ac:dyDescent="0.2">
      <c r="A51" s="339">
        <v>12</v>
      </c>
      <c r="B51" s="344" t="s">
        <v>359</v>
      </c>
      <c r="C51" s="351">
        <v>34428013</v>
      </c>
      <c r="D51" s="351">
        <v>33684894</v>
      </c>
      <c r="E51" s="351">
        <v>32394182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5023840</v>
      </c>
      <c r="D53" s="341">
        <v>1481120</v>
      </c>
      <c r="E53" s="341">
        <v>2074028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29404173</v>
      </c>
      <c r="D54" s="352">
        <f>+D51+D52-D53</f>
        <v>32203774</v>
      </c>
      <c r="E54" s="352">
        <f>+E51+E52-E53</f>
        <v>30320154</v>
      </c>
    </row>
    <row r="55" spans="1:5" ht="24" customHeight="1" x14ac:dyDescent="0.2">
      <c r="A55" s="339">
        <v>16</v>
      </c>
      <c r="B55" s="340" t="s">
        <v>75</v>
      </c>
      <c r="C55" s="341">
        <f>+C11</f>
        <v>285207565</v>
      </c>
      <c r="D55" s="341">
        <f>+D11</f>
        <v>297604077</v>
      </c>
      <c r="E55" s="341">
        <f>+E11</f>
        <v>283823086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50.441047955964606</v>
      </c>
      <c r="D57" s="355">
        <f>IF((D61/365)=0,0,+D58/(D61/365))</f>
        <v>45.755221313176129</v>
      </c>
      <c r="E57" s="355">
        <f>IF((E61/365)=0,0,+E58/(E61/365))</f>
        <v>45.310955842514957</v>
      </c>
    </row>
    <row r="58" spans="1:5" ht="24" customHeight="1" x14ac:dyDescent="0.2">
      <c r="A58" s="339">
        <v>18</v>
      </c>
      <c r="B58" s="340" t="s">
        <v>54</v>
      </c>
      <c r="C58" s="353">
        <f>+C40</f>
        <v>34770075</v>
      </c>
      <c r="D58" s="353">
        <f>+D40</f>
        <v>33013340</v>
      </c>
      <c r="E58" s="353">
        <f>+E40</f>
        <v>31325397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268647757</v>
      </c>
      <c r="D59" s="353">
        <f t="shared" si="0"/>
        <v>281434152</v>
      </c>
      <c r="E59" s="353">
        <f t="shared" si="0"/>
        <v>267959722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17045582</v>
      </c>
      <c r="D60" s="356">
        <f t="shared" si="0"/>
        <v>18079091</v>
      </c>
      <c r="E60" s="356">
        <f t="shared" si="0"/>
        <v>15619649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251602175</v>
      </c>
      <c r="D61" s="353">
        <f>+D59-D60</f>
        <v>263355061</v>
      </c>
      <c r="E61" s="353">
        <f>+E59-E60</f>
        <v>252340073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44.784624374541764</v>
      </c>
      <c r="D65" s="357">
        <f>IF(D67=0,0,(D66/D67)*100)</f>
        <v>49.978185811026812</v>
      </c>
      <c r="E65" s="357">
        <f>IF(E67=0,0,(E66/E67)*100)</f>
        <v>67.991968542069486</v>
      </c>
    </row>
    <row r="66" spans="1:5" ht="24" customHeight="1" x14ac:dyDescent="0.2">
      <c r="A66" s="339">
        <v>2</v>
      </c>
      <c r="B66" s="340" t="s">
        <v>67</v>
      </c>
      <c r="C66" s="353">
        <f>+C32</f>
        <v>162762614</v>
      </c>
      <c r="D66" s="353">
        <f>+D32</f>
        <v>198024302</v>
      </c>
      <c r="E66" s="353">
        <f>+E32</f>
        <v>327305561</v>
      </c>
    </row>
    <row r="67" spans="1:5" ht="24" customHeight="1" x14ac:dyDescent="0.2">
      <c r="A67" s="339">
        <v>3</v>
      </c>
      <c r="B67" s="340" t="s">
        <v>43</v>
      </c>
      <c r="C67" s="353">
        <v>363434139</v>
      </c>
      <c r="D67" s="353">
        <v>396221469</v>
      </c>
      <c r="E67" s="353">
        <v>481388564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41.812159985363486</v>
      </c>
      <c r="D69" s="357">
        <f>IF(D75=0,0,(D72/D75)*100)</f>
        <v>56.906583265295431</v>
      </c>
      <c r="E69" s="357">
        <f>IF(E75=0,0,(E72/E75)*100)</f>
        <v>50.911703475785849</v>
      </c>
    </row>
    <row r="70" spans="1:5" ht="24" customHeight="1" x14ac:dyDescent="0.2">
      <c r="A70" s="339">
        <v>5</v>
      </c>
      <c r="B70" s="340" t="s">
        <v>366</v>
      </c>
      <c r="C70" s="353">
        <f>+C28</f>
        <v>23579024</v>
      </c>
      <c r="D70" s="353">
        <f>+D28</f>
        <v>37729383</v>
      </c>
      <c r="E70" s="353">
        <f>+E28</f>
        <v>34538016</v>
      </c>
    </row>
    <row r="71" spans="1:5" ht="24" customHeight="1" x14ac:dyDescent="0.2">
      <c r="A71" s="339">
        <v>6</v>
      </c>
      <c r="B71" s="340" t="s">
        <v>356</v>
      </c>
      <c r="C71" s="356">
        <f>+C47</f>
        <v>17045582</v>
      </c>
      <c r="D71" s="356">
        <f>+D47</f>
        <v>18079091</v>
      </c>
      <c r="E71" s="356">
        <f>+E47</f>
        <v>15619649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40624606</v>
      </c>
      <c r="D72" s="353">
        <f>+D70+D71</f>
        <v>55808474</v>
      </c>
      <c r="E72" s="353">
        <f>+E70+E71</f>
        <v>50157665</v>
      </c>
    </row>
    <row r="73" spans="1:5" ht="24" customHeight="1" x14ac:dyDescent="0.2">
      <c r="A73" s="339">
        <v>8</v>
      </c>
      <c r="B73" s="340" t="s">
        <v>54</v>
      </c>
      <c r="C73" s="341">
        <f>+C40</f>
        <v>34770075</v>
      </c>
      <c r="D73" s="341">
        <f>+D40</f>
        <v>33013340</v>
      </c>
      <c r="E73" s="341">
        <f>+E40</f>
        <v>31325397</v>
      </c>
    </row>
    <row r="74" spans="1:5" ht="24" customHeight="1" x14ac:dyDescent="0.2">
      <c r="A74" s="339">
        <v>9</v>
      </c>
      <c r="B74" s="340" t="s">
        <v>58</v>
      </c>
      <c r="C74" s="353">
        <v>62389713</v>
      </c>
      <c r="D74" s="353">
        <v>65056990</v>
      </c>
      <c r="E74" s="353">
        <v>67193532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97159788</v>
      </c>
      <c r="D75" s="341">
        <f>+D73+D74</f>
        <v>98070330</v>
      </c>
      <c r="E75" s="341">
        <f>+E73+E74</f>
        <v>98518929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27.710001416063534</v>
      </c>
      <c r="D77" s="359">
        <f>IF(D80=0,0,(D78/D80)*100)</f>
        <v>24.728854532157307</v>
      </c>
      <c r="E77" s="359">
        <f>IF(E80=0,0,(E78/E80)*100)</f>
        <v>17.032620148508173</v>
      </c>
    </row>
    <row r="78" spans="1:5" ht="24" customHeight="1" x14ac:dyDescent="0.2">
      <c r="A78" s="339">
        <v>12</v>
      </c>
      <c r="B78" s="340" t="s">
        <v>58</v>
      </c>
      <c r="C78" s="341">
        <f>+C74</f>
        <v>62389713</v>
      </c>
      <c r="D78" s="341">
        <f>+D74</f>
        <v>65056990</v>
      </c>
      <c r="E78" s="341">
        <f>+E74</f>
        <v>67193532</v>
      </c>
    </row>
    <row r="79" spans="1:5" ht="24" customHeight="1" x14ac:dyDescent="0.2">
      <c r="A79" s="339">
        <v>13</v>
      </c>
      <c r="B79" s="340" t="s">
        <v>67</v>
      </c>
      <c r="C79" s="341">
        <f>+C32</f>
        <v>162762614</v>
      </c>
      <c r="D79" s="341">
        <f>+D32</f>
        <v>198024302</v>
      </c>
      <c r="E79" s="341">
        <f>+E32</f>
        <v>327305561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225152327</v>
      </c>
      <c r="D80" s="341">
        <f>+D78+D79</f>
        <v>263081292</v>
      </c>
      <c r="E80" s="341">
        <f>+E78+E79</f>
        <v>394499093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36712</v>
      </c>
      <c r="D11" s="376">
        <v>9137</v>
      </c>
      <c r="E11" s="376">
        <v>9187</v>
      </c>
      <c r="F11" s="377">
        <v>138</v>
      </c>
      <c r="G11" s="377">
        <v>166</v>
      </c>
      <c r="H11" s="378">
        <f>IF(F11=0,0,$C11/(F11*365))</f>
        <v>0.72884653563629143</v>
      </c>
      <c r="I11" s="378">
        <f>IF(G11=0,0,$C11/(G11*365))</f>
        <v>0.60590856576992902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3275</v>
      </c>
      <c r="D13" s="376">
        <v>189</v>
      </c>
      <c r="E13" s="376">
        <v>0</v>
      </c>
      <c r="F13" s="377">
        <v>12</v>
      </c>
      <c r="G13" s="377">
        <v>12</v>
      </c>
      <c r="H13" s="378">
        <f>IF(F13=0,0,$C13/(F13*365))</f>
        <v>0.74771689497716898</v>
      </c>
      <c r="I13" s="378">
        <f>IF(G13=0,0,$C13/(G13*365))</f>
        <v>0.74771689497716898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4644</v>
      </c>
      <c r="D16" s="376">
        <v>535</v>
      </c>
      <c r="E16" s="376">
        <v>535</v>
      </c>
      <c r="F16" s="377">
        <v>18</v>
      </c>
      <c r="G16" s="377">
        <v>20</v>
      </c>
      <c r="H16" s="378">
        <f t="shared" si="0"/>
        <v>0.70684931506849313</v>
      </c>
      <c r="I16" s="378">
        <f t="shared" si="0"/>
        <v>0.63616438356164384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4644</v>
      </c>
      <c r="D17" s="381">
        <f>SUM(D15:D16)</f>
        <v>535</v>
      </c>
      <c r="E17" s="381">
        <f>SUM(E15:E16)</f>
        <v>535</v>
      </c>
      <c r="F17" s="381">
        <f>SUM(F15:F16)</f>
        <v>18</v>
      </c>
      <c r="G17" s="381">
        <f>SUM(G15:G16)</f>
        <v>20</v>
      </c>
      <c r="H17" s="382">
        <f t="shared" si="0"/>
        <v>0.70684931506849313</v>
      </c>
      <c r="I17" s="382">
        <f t="shared" si="0"/>
        <v>0.63616438356164384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1946</v>
      </c>
      <c r="D21" s="376">
        <v>864</v>
      </c>
      <c r="E21" s="376">
        <v>851</v>
      </c>
      <c r="F21" s="377">
        <v>15</v>
      </c>
      <c r="G21" s="377">
        <v>15</v>
      </c>
      <c r="H21" s="378">
        <f>IF(F21=0,0,$C21/(F21*365))</f>
        <v>0.35543378995433789</v>
      </c>
      <c r="I21" s="378">
        <f>IF(G21=0,0,$C21/(G21*365))</f>
        <v>0.35543378995433789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1888</v>
      </c>
      <c r="D23" s="376">
        <v>860</v>
      </c>
      <c r="E23" s="376">
        <v>861</v>
      </c>
      <c r="F23" s="377">
        <v>18</v>
      </c>
      <c r="G23" s="377">
        <v>20</v>
      </c>
      <c r="H23" s="378">
        <f>IF(F23=0,0,$C23/(F23*365))</f>
        <v>0.28736681887366816</v>
      </c>
      <c r="I23" s="378">
        <f>IF(G23=0,0,$C23/(G23*365))</f>
        <v>0.25863013698630138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46577</v>
      </c>
      <c r="D31" s="384">
        <f>SUM(D10:D29)-D13-D17-D23</f>
        <v>10536</v>
      </c>
      <c r="E31" s="384">
        <f>SUM(E10:E29)-E17-E23</f>
        <v>10573</v>
      </c>
      <c r="F31" s="384">
        <f>SUM(F10:F29)-F17-F23</f>
        <v>183</v>
      </c>
      <c r="G31" s="384">
        <f>SUM(G10:G29)-G17-G23</f>
        <v>213</v>
      </c>
      <c r="H31" s="385">
        <f>IF(F31=0,0,$C31/(F31*365))</f>
        <v>0.69731267310427425</v>
      </c>
      <c r="I31" s="385">
        <f>IF(G31=0,0,$C31/(G31*365))</f>
        <v>0.59909962055437649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48465</v>
      </c>
      <c r="D33" s="384">
        <f>SUM(D10:D29)-D13-D17</f>
        <v>11396</v>
      </c>
      <c r="E33" s="384">
        <f>SUM(E10:E29)-E17</f>
        <v>11434</v>
      </c>
      <c r="F33" s="384">
        <f>SUM(F10:F29)-F17</f>
        <v>201</v>
      </c>
      <c r="G33" s="384">
        <f>SUM(G10:G29)-G17</f>
        <v>233</v>
      </c>
      <c r="H33" s="385">
        <f>IF(F33=0,0,$C33/(F33*365))</f>
        <v>0.66060110406869765</v>
      </c>
      <c r="I33" s="385">
        <f>IF(G33=0,0,$C33/(G33*365))</f>
        <v>0.56987477217943439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48465</v>
      </c>
      <c r="D36" s="384">
        <f t="shared" si="1"/>
        <v>11396</v>
      </c>
      <c r="E36" s="384">
        <f t="shared" si="1"/>
        <v>11434</v>
      </c>
      <c r="F36" s="384">
        <f t="shared" si="1"/>
        <v>201</v>
      </c>
      <c r="G36" s="384">
        <f t="shared" si="1"/>
        <v>233</v>
      </c>
      <c r="H36" s="387">
        <f t="shared" si="1"/>
        <v>0.66060110406869765</v>
      </c>
      <c r="I36" s="387">
        <f t="shared" si="1"/>
        <v>0.56987477217943439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49361</v>
      </c>
      <c r="D37" s="384">
        <v>11911</v>
      </c>
      <c r="E37" s="384">
        <v>11890</v>
      </c>
      <c r="F37" s="386">
        <v>201</v>
      </c>
      <c r="G37" s="386">
        <v>233</v>
      </c>
      <c r="H37" s="385">
        <f>IF(F37=0,0,$C37/(F37*365))</f>
        <v>0.67281401213112524</v>
      </c>
      <c r="I37" s="385">
        <f>IF(G37=0,0,$C37/(G37*365))</f>
        <v>0.58041037098006942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-896</v>
      </c>
      <c r="D38" s="384">
        <f t="shared" si="2"/>
        <v>-515</v>
      </c>
      <c r="E38" s="384">
        <f t="shared" si="2"/>
        <v>-456</v>
      </c>
      <c r="F38" s="384">
        <f t="shared" si="2"/>
        <v>0</v>
      </c>
      <c r="G38" s="384">
        <f t="shared" si="2"/>
        <v>0</v>
      </c>
      <c r="H38" s="387">
        <f t="shared" si="2"/>
        <v>-1.2212908062427585E-2</v>
      </c>
      <c r="I38" s="387">
        <f t="shared" si="2"/>
        <v>-1.0535598800635038E-2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-1.815198233423148E-2</v>
      </c>
      <c r="D40" s="389">
        <f t="shared" si="3"/>
        <v>-4.3237343631936868E-2</v>
      </c>
      <c r="E40" s="389">
        <f t="shared" si="3"/>
        <v>-3.8351555929352396E-2</v>
      </c>
      <c r="F40" s="389">
        <f t="shared" si="3"/>
        <v>0</v>
      </c>
      <c r="G40" s="389">
        <f t="shared" si="3"/>
        <v>0</v>
      </c>
      <c r="H40" s="389">
        <f t="shared" si="3"/>
        <v>-1.8151982334231473E-2</v>
      </c>
      <c r="I40" s="389">
        <f t="shared" si="3"/>
        <v>-1.8151982334231615E-2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233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7830</v>
      </c>
      <c r="D12" s="409">
        <v>8262</v>
      </c>
      <c r="E12" s="409">
        <f>+D12-C12</f>
        <v>432</v>
      </c>
      <c r="F12" s="410">
        <f>IF(C12=0,0,+E12/C12)</f>
        <v>5.5172413793103448E-2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13282</v>
      </c>
      <c r="D13" s="409">
        <v>12572</v>
      </c>
      <c r="E13" s="409">
        <f>+D13-C13</f>
        <v>-710</v>
      </c>
      <c r="F13" s="410">
        <f>IF(C13=0,0,+E13/C13)</f>
        <v>-5.3455804848667368E-2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11251</v>
      </c>
      <c r="D14" s="409">
        <v>13407</v>
      </c>
      <c r="E14" s="409">
        <f>+D14-C14</f>
        <v>2156</v>
      </c>
      <c r="F14" s="410">
        <f>IF(C14=0,0,+E14/C14)</f>
        <v>0.19162741089680918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32363</v>
      </c>
      <c r="D16" s="401">
        <f>SUM(D12:D15)</f>
        <v>34241</v>
      </c>
      <c r="E16" s="401">
        <f>+D16-C16</f>
        <v>1878</v>
      </c>
      <c r="F16" s="402">
        <f>IF(C16=0,0,+E16/C16)</f>
        <v>5.8029230911843775E-2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1037</v>
      </c>
      <c r="D19" s="409">
        <v>1120</v>
      </c>
      <c r="E19" s="409">
        <f>+D19-C19</f>
        <v>83</v>
      </c>
      <c r="F19" s="410">
        <f>IF(C19=0,0,+E19/C19)</f>
        <v>8.0038572806171646E-2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9062</v>
      </c>
      <c r="D20" s="409">
        <v>9121</v>
      </c>
      <c r="E20" s="409">
        <f>+D20-C20</f>
        <v>59</v>
      </c>
      <c r="F20" s="410">
        <f>IF(C20=0,0,+E20/C20)</f>
        <v>6.5107040388435221E-3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295</v>
      </c>
      <c r="D21" s="409">
        <v>391</v>
      </c>
      <c r="E21" s="409">
        <f>+D21-C21</f>
        <v>96</v>
      </c>
      <c r="F21" s="410">
        <f>IF(C21=0,0,+E21/C21)</f>
        <v>0.3254237288135593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10394</v>
      </c>
      <c r="D23" s="401">
        <f>SUM(D19:D22)</f>
        <v>10632</v>
      </c>
      <c r="E23" s="401">
        <f>+D23-C23</f>
        <v>238</v>
      </c>
      <c r="F23" s="402">
        <f>IF(C23=0,0,+E23/C23)</f>
        <v>2.2897825668654993E-2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8</v>
      </c>
      <c r="D33" s="409">
        <v>7</v>
      </c>
      <c r="E33" s="409">
        <f>+D33-C33</f>
        <v>-1</v>
      </c>
      <c r="F33" s="410">
        <f>IF(C33=0,0,+E33/C33)</f>
        <v>-0.125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743</v>
      </c>
      <c r="D34" s="409">
        <v>703</v>
      </c>
      <c r="E34" s="409">
        <f>+D34-C34</f>
        <v>-40</v>
      </c>
      <c r="F34" s="410">
        <f>IF(C34=0,0,+E34/C34)</f>
        <v>-5.3835800807537013E-2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751</v>
      </c>
      <c r="D37" s="401">
        <f>SUM(D33:D36)</f>
        <v>710</v>
      </c>
      <c r="E37" s="401">
        <f>+D37-C37</f>
        <v>-41</v>
      </c>
      <c r="F37" s="402">
        <f>IF(C37=0,0,+E37/C37)</f>
        <v>-5.459387483355526E-2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348</v>
      </c>
      <c r="D43" s="409">
        <v>326</v>
      </c>
      <c r="E43" s="409">
        <f>+D43-C43</f>
        <v>-22</v>
      </c>
      <c r="F43" s="410">
        <f>IF(C43=0,0,+E43/C43)</f>
        <v>-6.3218390804597707E-2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11458</v>
      </c>
      <c r="D44" s="409">
        <v>9822</v>
      </c>
      <c r="E44" s="409">
        <f>+D44-C44</f>
        <v>-1636</v>
      </c>
      <c r="F44" s="410">
        <f>IF(C44=0,0,+E44/C44)</f>
        <v>-0.14278233548612324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11806</v>
      </c>
      <c r="D45" s="401">
        <f>SUM(D43:D44)</f>
        <v>10148</v>
      </c>
      <c r="E45" s="401">
        <f>+D45-C45</f>
        <v>-1658</v>
      </c>
      <c r="F45" s="402">
        <f>IF(C45=0,0,+E45/C45)</f>
        <v>-0.14043706589869559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174</v>
      </c>
      <c r="D48" s="409">
        <v>200</v>
      </c>
      <c r="E48" s="409">
        <f>+D48-C48</f>
        <v>26</v>
      </c>
      <c r="F48" s="410">
        <f>IF(C48=0,0,+E48/C48)</f>
        <v>0.14942528735632185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142</v>
      </c>
      <c r="D49" s="409">
        <v>166</v>
      </c>
      <c r="E49" s="409">
        <f>+D49-C49</f>
        <v>24</v>
      </c>
      <c r="F49" s="410">
        <f>IF(C49=0,0,+E49/C49)</f>
        <v>0.16901408450704225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316</v>
      </c>
      <c r="D50" s="401">
        <f>SUM(D48:D49)</f>
        <v>366</v>
      </c>
      <c r="E50" s="401">
        <f>+D50-C50</f>
        <v>50</v>
      </c>
      <c r="F50" s="402">
        <f>IF(C50=0,0,+E50/C50)</f>
        <v>0.15822784810126583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25</v>
      </c>
      <c r="D58" s="409">
        <v>29</v>
      </c>
      <c r="E58" s="409">
        <f>+D58-C58</f>
        <v>4</v>
      </c>
      <c r="F58" s="410">
        <f>IF(C58=0,0,+E58/C58)</f>
        <v>0.16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23</v>
      </c>
      <c r="D59" s="409">
        <v>23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48</v>
      </c>
      <c r="D60" s="401">
        <f>SUM(D58:D59)</f>
        <v>52</v>
      </c>
      <c r="E60" s="401">
        <f>SUM(E58:E59)</f>
        <v>4</v>
      </c>
      <c r="F60" s="402">
        <f>IF(C60=0,0,+E60/C60)</f>
        <v>8.3333333333333329E-2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2921</v>
      </c>
      <c r="D63" s="409">
        <v>2787</v>
      </c>
      <c r="E63" s="409">
        <f>+D63-C63</f>
        <v>-134</v>
      </c>
      <c r="F63" s="410">
        <f>IF(C63=0,0,+E63/C63)</f>
        <v>-4.5874700445053061E-2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6968</v>
      </c>
      <c r="D64" s="409">
        <v>6323</v>
      </c>
      <c r="E64" s="409">
        <f>+D64-C64</f>
        <v>-645</v>
      </c>
      <c r="F64" s="410">
        <f>IF(C64=0,0,+E64/C64)</f>
        <v>-9.2566016073478766E-2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9889</v>
      </c>
      <c r="D65" s="401">
        <f>SUM(D63:D64)</f>
        <v>9110</v>
      </c>
      <c r="E65" s="401">
        <f>+D65-C65</f>
        <v>-779</v>
      </c>
      <c r="F65" s="402">
        <f>IF(C65=0,0,+E65/C65)</f>
        <v>-7.8774395793305696E-2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409</v>
      </c>
      <c r="D68" s="409">
        <v>467</v>
      </c>
      <c r="E68" s="409">
        <f>+D68-C68</f>
        <v>58</v>
      </c>
      <c r="F68" s="410">
        <f>IF(C68=0,0,+E68/C68)</f>
        <v>0.14180929095354522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2443</v>
      </c>
      <c r="D69" s="409">
        <v>2567</v>
      </c>
      <c r="E69" s="409">
        <f>+D69-C69</f>
        <v>124</v>
      </c>
      <c r="F69" s="412">
        <f>IF(C69=0,0,+E69/C69)</f>
        <v>5.0757265656979127E-2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2852</v>
      </c>
      <c r="D70" s="401">
        <f>SUM(D68:D69)</f>
        <v>3034</v>
      </c>
      <c r="E70" s="401">
        <f>+D70-C70</f>
        <v>182</v>
      </c>
      <c r="F70" s="402">
        <f>IF(C70=0,0,+E70/C70)</f>
        <v>6.3814866760168301E-2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7364</v>
      </c>
      <c r="D73" s="376">
        <v>7289</v>
      </c>
      <c r="E73" s="409">
        <f>+D73-C73</f>
        <v>-75</v>
      </c>
      <c r="F73" s="410">
        <f>IF(C73=0,0,+E73/C73)</f>
        <v>-1.0184682237914177E-2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60738</v>
      </c>
      <c r="D74" s="376">
        <v>71555</v>
      </c>
      <c r="E74" s="409">
        <f>+D74-C74</f>
        <v>10817</v>
      </c>
      <c r="F74" s="410">
        <f>IF(C74=0,0,+E74/C74)</f>
        <v>0.17809279199183378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68102</v>
      </c>
      <c r="D75" s="401">
        <f>SUM(D73:D74)</f>
        <v>78844</v>
      </c>
      <c r="E75" s="401">
        <f>SUM(E73:E74)</f>
        <v>10742</v>
      </c>
      <c r="F75" s="402">
        <f>IF(C75=0,0,+E75/C75)</f>
        <v>0.15773398725441251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17357</v>
      </c>
      <c r="D81" s="376">
        <v>15965</v>
      </c>
      <c r="E81" s="409">
        <f t="shared" si="0"/>
        <v>-1392</v>
      </c>
      <c r="F81" s="410">
        <f t="shared" si="1"/>
        <v>-8.0198190931612609E-2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45552</v>
      </c>
      <c r="D87" s="376">
        <v>0</v>
      </c>
      <c r="E87" s="409">
        <f t="shared" si="0"/>
        <v>-45552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2046</v>
      </c>
      <c r="E89" s="409">
        <f t="shared" si="0"/>
        <v>2046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40905</v>
      </c>
      <c r="E91" s="409">
        <f t="shared" si="0"/>
        <v>40905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62909</v>
      </c>
      <c r="D92" s="381">
        <f>SUM(D79:D91)</f>
        <v>58916</v>
      </c>
      <c r="E92" s="401">
        <f t="shared" si="0"/>
        <v>-3993</v>
      </c>
      <c r="F92" s="402">
        <f t="shared" si="1"/>
        <v>-6.3472635076062253E-2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15833</v>
      </c>
      <c r="D95" s="414">
        <v>15854</v>
      </c>
      <c r="E95" s="415">
        <f t="shared" ref="E95:E100" si="2">+D95-C95</f>
        <v>21</v>
      </c>
      <c r="F95" s="412">
        <f t="shared" ref="F95:F100" si="3">IF(C95=0,0,+E95/C95)</f>
        <v>1.3263437124992105E-3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5290</v>
      </c>
      <c r="D96" s="414">
        <v>4245</v>
      </c>
      <c r="E96" s="409">
        <f t="shared" si="2"/>
        <v>-1045</v>
      </c>
      <c r="F96" s="410">
        <f t="shared" si="3"/>
        <v>-0.19754253308128544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2955</v>
      </c>
      <c r="D97" s="414">
        <v>2197</v>
      </c>
      <c r="E97" s="409">
        <f t="shared" si="2"/>
        <v>-758</v>
      </c>
      <c r="F97" s="410">
        <f t="shared" si="3"/>
        <v>-0.2565143824027073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186307</v>
      </c>
      <c r="D99" s="414">
        <v>182253</v>
      </c>
      <c r="E99" s="409">
        <f t="shared" si="2"/>
        <v>-4054</v>
      </c>
      <c r="F99" s="410">
        <f t="shared" si="3"/>
        <v>-2.1759783583010835E-2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210385</v>
      </c>
      <c r="D100" s="381">
        <f>SUM(D95:D99)</f>
        <v>204549</v>
      </c>
      <c r="E100" s="401">
        <f t="shared" si="2"/>
        <v>-5836</v>
      </c>
      <c r="F100" s="402">
        <f t="shared" si="3"/>
        <v>-2.7739620220072723E-2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460</v>
      </c>
      <c r="D104" s="416">
        <v>442.7</v>
      </c>
      <c r="E104" s="417">
        <f>+D104-C104</f>
        <v>-17.300000000000011</v>
      </c>
      <c r="F104" s="410">
        <f>IF(C104=0,0,+E104/C104)</f>
        <v>-3.7608695652173937E-2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37</v>
      </c>
      <c r="D105" s="416">
        <v>44</v>
      </c>
      <c r="E105" s="417">
        <f>+D105-C105</f>
        <v>7</v>
      </c>
      <c r="F105" s="410">
        <f>IF(C105=0,0,+E105/C105)</f>
        <v>0.1891891891891892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1045.8</v>
      </c>
      <c r="D106" s="416">
        <v>1045</v>
      </c>
      <c r="E106" s="417">
        <f>+D106-C106</f>
        <v>-0.79999999999995453</v>
      </c>
      <c r="F106" s="410">
        <f>IF(C106=0,0,+E106/C106)</f>
        <v>-7.6496462038626366E-4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1542.8</v>
      </c>
      <c r="D107" s="418">
        <f>SUM(D104:D106)</f>
        <v>1531.7</v>
      </c>
      <c r="E107" s="418">
        <f>+D107-C107</f>
        <v>-11.099999999999909</v>
      </c>
      <c r="F107" s="402">
        <f>IF(C107=0,0,+E107/C107)</f>
        <v>-7.1947109152190238E-3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6968</v>
      </c>
      <c r="D12" s="409">
        <v>6323</v>
      </c>
      <c r="E12" s="409">
        <f>+D12-C12</f>
        <v>-645</v>
      </c>
      <c r="F12" s="410">
        <f>IF(C12=0,0,+E12/C12)</f>
        <v>-9.2566016073478766E-2</v>
      </c>
    </row>
    <row r="13" spans="1:6" ht="15.75" customHeight="1" x14ac:dyDescent="0.25">
      <c r="A13" s="374"/>
      <c r="B13" s="399" t="s">
        <v>622</v>
      </c>
      <c r="C13" s="401">
        <f>SUM(C11:C12)</f>
        <v>6968</v>
      </c>
      <c r="D13" s="401">
        <f>SUM(D11:D12)</f>
        <v>6323</v>
      </c>
      <c r="E13" s="401">
        <f>+D13-C13</f>
        <v>-645</v>
      </c>
      <c r="F13" s="402">
        <f>IF(C13=0,0,+E13/C13)</f>
        <v>-9.2566016073478766E-2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2443</v>
      </c>
      <c r="D16" s="409">
        <v>2567</v>
      </c>
      <c r="E16" s="409">
        <f>+D16-C16</f>
        <v>124</v>
      </c>
      <c r="F16" s="410">
        <f>IF(C16=0,0,+E16/C16)</f>
        <v>5.0757265656979127E-2</v>
      </c>
    </row>
    <row r="17" spans="1:6" ht="15.75" customHeight="1" x14ac:dyDescent="0.25">
      <c r="A17" s="374"/>
      <c r="B17" s="399" t="s">
        <v>623</v>
      </c>
      <c r="C17" s="401">
        <f>SUM(C15:C16)</f>
        <v>2443</v>
      </c>
      <c r="D17" s="401">
        <f>SUM(D15:D16)</f>
        <v>2567</v>
      </c>
      <c r="E17" s="401">
        <f>+D17-C17</f>
        <v>124</v>
      </c>
      <c r="F17" s="402">
        <f>IF(C17=0,0,+E17/C17)</f>
        <v>5.0757265656979127E-2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3751</v>
      </c>
      <c r="D20" s="409">
        <v>18816</v>
      </c>
      <c r="E20" s="409">
        <f>+D20-C20</f>
        <v>15065</v>
      </c>
      <c r="F20" s="410">
        <f>IF(C20=0,0,+E20/C20)</f>
        <v>4.0162623300453211</v>
      </c>
    </row>
    <row r="21" spans="1:6" ht="15.75" customHeight="1" x14ac:dyDescent="0.2">
      <c r="A21" s="374">
        <v>2</v>
      </c>
      <c r="B21" s="408" t="s">
        <v>621</v>
      </c>
      <c r="C21" s="409">
        <v>56987</v>
      </c>
      <c r="D21" s="409">
        <v>52739</v>
      </c>
      <c r="E21" s="409">
        <f>+D21-C21</f>
        <v>-4248</v>
      </c>
      <c r="F21" s="410">
        <f>IF(C21=0,0,+E21/C21)</f>
        <v>-7.4543316896836118E-2</v>
      </c>
    </row>
    <row r="22" spans="1:6" ht="15.75" customHeight="1" x14ac:dyDescent="0.25">
      <c r="A22" s="374"/>
      <c r="B22" s="399" t="s">
        <v>626</v>
      </c>
      <c r="C22" s="401">
        <f>SUM(C19:C21)</f>
        <v>60738</v>
      </c>
      <c r="D22" s="401">
        <f>SUM(D19:D21)</f>
        <v>71555</v>
      </c>
      <c r="E22" s="401">
        <f>+D22-C22</f>
        <v>10817</v>
      </c>
      <c r="F22" s="402">
        <f>IF(C22=0,0,+E22/C22)</f>
        <v>0.17809279199183378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0" t="s">
        <v>627</v>
      </c>
      <c r="C24" s="811"/>
      <c r="D24" s="811"/>
      <c r="E24" s="811"/>
      <c r="F24" s="812"/>
    </row>
    <row r="25" spans="1:6" ht="15.75" customHeight="1" x14ac:dyDescent="0.25">
      <c r="A25" s="392"/>
    </row>
    <row r="26" spans="1:6" ht="15.75" customHeight="1" x14ac:dyDescent="0.25">
      <c r="B26" s="810" t="s">
        <v>628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629</v>
      </c>
      <c r="C28" s="811"/>
      <c r="D28" s="811"/>
      <c r="E28" s="811"/>
      <c r="F28" s="812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125132685</v>
      </c>
      <c r="D15" s="448">
        <v>131136626</v>
      </c>
      <c r="E15" s="448">
        <f t="shared" ref="E15:E24" si="0">D15-C15</f>
        <v>6003941</v>
      </c>
      <c r="F15" s="449">
        <f t="shared" ref="F15:F24" si="1">IF(C15=0,0,E15/C15)</f>
        <v>4.7980597555306995E-2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62107906</v>
      </c>
      <c r="D16" s="448">
        <v>54316391</v>
      </c>
      <c r="E16" s="448">
        <f t="shared" si="0"/>
        <v>-7791515</v>
      </c>
      <c r="F16" s="449">
        <f t="shared" si="1"/>
        <v>-0.1254512589749846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0.49633639684148073</v>
      </c>
      <c r="D17" s="453">
        <f>IF(LN_IA1=0,0,LN_IA2/LN_IA1)</f>
        <v>0.41419695364131148</v>
      </c>
      <c r="E17" s="454">
        <f t="shared" si="0"/>
        <v>-8.2139443200169249E-2</v>
      </c>
      <c r="F17" s="449">
        <f t="shared" si="1"/>
        <v>-0.16549147659304711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5508</v>
      </c>
      <c r="D18" s="456">
        <v>5244</v>
      </c>
      <c r="E18" s="456">
        <f t="shared" si="0"/>
        <v>-264</v>
      </c>
      <c r="F18" s="449">
        <f t="shared" si="1"/>
        <v>-4.793028322440087E-2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1.3653999999999999</v>
      </c>
      <c r="D19" s="459">
        <v>1.4244000000000001</v>
      </c>
      <c r="E19" s="460">
        <f t="shared" si="0"/>
        <v>5.9000000000000163E-2</v>
      </c>
      <c r="F19" s="449">
        <f t="shared" si="1"/>
        <v>4.3210780723597603E-2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7520.6232</v>
      </c>
      <c r="D20" s="463">
        <f>LN_IA4*LN_IA5</f>
        <v>7469.5536000000002</v>
      </c>
      <c r="E20" s="463">
        <f t="shared" si="0"/>
        <v>-51.069599999999809</v>
      </c>
      <c r="F20" s="449">
        <f t="shared" si="1"/>
        <v>-6.7906074592328745E-3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8258.3456647582079</v>
      </c>
      <c r="D21" s="465">
        <f>IF(LN_IA6=0,0,LN_IA2/LN_IA6)</f>
        <v>7271.7050989499558</v>
      </c>
      <c r="E21" s="465">
        <f t="shared" si="0"/>
        <v>-986.64056580825218</v>
      </c>
      <c r="F21" s="449">
        <f t="shared" si="1"/>
        <v>-0.1194719385528578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26918</v>
      </c>
      <c r="D22" s="456">
        <v>26720</v>
      </c>
      <c r="E22" s="456">
        <f t="shared" si="0"/>
        <v>-198</v>
      </c>
      <c r="F22" s="449">
        <f t="shared" si="1"/>
        <v>-7.355672784010699E-3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2307.3001708893676</v>
      </c>
      <c r="D23" s="465">
        <f>IF(LN_IA8=0,0,LN_IA2/LN_IA8)</f>
        <v>2032.7990643712574</v>
      </c>
      <c r="E23" s="465">
        <f t="shared" si="0"/>
        <v>-274.50110651811019</v>
      </c>
      <c r="F23" s="449">
        <f t="shared" si="1"/>
        <v>-0.11897069569942498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4.8870733478576618</v>
      </c>
      <c r="D24" s="466">
        <f>IF(LN_IA4=0,0,LN_IA8/LN_IA4)</f>
        <v>5.0953470633104496</v>
      </c>
      <c r="E24" s="466">
        <f t="shared" si="0"/>
        <v>0.20827371545278783</v>
      </c>
      <c r="F24" s="449">
        <f t="shared" si="1"/>
        <v>4.2617268174231199E-2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121311471</v>
      </c>
      <c r="D27" s="448">
        <v>131894352</v>
      </c>
      <c r="E27" s="448">
        <f t="shared" ref="E27:E32" si="2">D27-C27</f>
        <v>10582881</v>
      </c>
      <c r="F27" s="449">
        <f t="shared" ref="F27:F32" si="3">IF(C27=0,0,E27/C27)</f>
        <v>8.7237265468489783E-2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29749794</v>
      </c>
      <c r="D28" s="448">
        <v>31703568</v>
      </c>
      <c r="E28" s="448">
        <f t="shared" si="2"/>
        <v>1953774</v>
      </c>
      <c r="F28" s="449">
        <f t="shared" si="3"/>
        <v>6.5673530378059092E-2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0.24523479729299466</v>
      </c>
      <c r="D29" s="453">
        <f>IF(LN_IA11=0,0,LN_IA12/LN_IA11)</f>
        <v>0.24037092960584089</v>
      </c>
      <c r="E29" s="454">
        <f t="shared" si="2"/>
        <v>-4.8638676871537723E-3</v>
      </c>
      <c r="F29" s="449">
        <f t="shared" si="3"/>
        <v>-1.9833513599388012E-2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0.96946270273030588</v>
      </c>
      <c r="D30" s="453">
        <f>IF(LN_IA1=0,0,LN_IA11/LN_IA1)</f>
        <v>1.0057781416459501</v>
      </c>
      <c r="E30" s="454">
        <f t="shared" si="2"/>
        <v>3.631543891564426E-2</v>
      </c>
      <c r="F30" s="449">
        <f t="shared" si="3"/>
        <v>3.7459346103123708E-2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5339.8005666385252</v>
      </c>
      <c r="D31" s="463">
        <f>LN_IA14*LN_IA4</f>
        <v>5274.3005747913621</v>
      </c>
      <c r="E31" s="463">
        <f t="shared" si="2"/>
        <v>-65.499991847163074</v>
      </c>
      <c r="F31" s="449">
        <f t="shared" si="3"/>
        <v>-1.2266374189400894E-2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5571.3305447899693</v>
      </c>
      <c r="D32" s="465">
        <f>IF(LN_IA15=0,0,LN_IA12/LN_IA15)</f>
        <v>6010.9520779926561</v>
      </c>
      <c r="E32" s="465">
        <f t="shared" si="2"/>
        <v>439.62153320268681</v>
      </c>
      <c r="F32" s="449">
        <f t="shared" si="3"/>
        <v>7.8907817381935627E-2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246444156</v>
      </c>
      <c r="D35" s="448">
        <f>LN_IA1+LN_IA11</f>
        <v>263030978</v>
      </c>
      <c r="E35" s="448">
        <f>D35-C35</f>
        <v>16586822</v>
      </c>
      <c r="F35" s="449">
        <f>IF(C35=0,0,E35/C35)</f>
        <v>6.7304586439452835E-2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91857700</v>
      </c>
      <c r="D36" s="448">
        <f>LN_IA2+LN_IA12</f>
        <v>86019959</v>
      </c>
      <c r="E36" s="448">
        <f>D36-C36</f>
        <v>-5837741</v>
      </c>
      <c r="F36" s="449">
        <f>IF(C36=0,0,E36/C36)</f>
        <v>-6.3552004894527073E-2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154586456</v>
      </c>
      <c r="D37" s="448">
        <f>LN_IA17-LN_IA18</f>
        <v>177011019</v>
      </c>
      <c r="E37" s="448">
        <f>D37-C37</f>
        <v>22424563</v>
      </c>
      <c r="F37" s="449">
        <f>IF(C37=0,0,E37/C37)</f>
        <v>0.14506162816747672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70979090</v>
      </c>
      <c r="D42" s="448">
        <v>69969354</v>
      </c>
      <c r="E42" s="448">
        <f t="shared" ref="E42:E53" si="4">D42-C42</f>
        <v>-1009736</v>
      </c>
      <c r="F42" s="449">
        <f t="shared" ref="F42:F53" si="5">IF(C42=0,0,E42/C42)</f>
        <v>-1.4225823407992411E-2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56354783</v>
      </c>
      <c r="D43" s="448">
        <v>51682398</v>
      </c>
      <c r="E43" s="448">
        <f t="shared" si="4"/>
        <v>-4672385</v>
      </c>
      <c r="F43" s="449">
        <f t="shared" si="5"/>
        <v>-8.2910176408628883E-2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0.79396316577177872</v>
      </c>
      <c r="D44" s="453">
        <f>IF(LN_IB1=0,0,LN_IB2/LN_IB1)</f>
        <v>0.73864334948697685</v>
      </c>
      <c r="E44" s="454">
        <f t="shared" si="4"/>
        <v>-5.531981628480187E-2</v>
      </c>
      <c r="F44" s="449">
        <f t="shared" si="5"/>
        <v>-6.967554499965721E-2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3836</v>
      </c>
      <c r="D45" s="456">
        <v>3554</v>
      </c>
      <c r="E45" s="456">
        <f t="shared" si="4"/>
        <v>-282</v>
      </c>
      <c r="F45" s="449">
        <f t="shared" si="5"/>
        <v>-7.3514077163712194E-2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1.2529999999999999</v>
      </c>
      <c r="D46" s="459">
        <v>1.2533000000000001</v>
      </c>
      <c r="E46" s="460">
        <f t="shared" si="4"/>
        <v>3.00000000000189E-4</v>
      </c>
      <c r="F46" s="449">
        <f t="shared" si="5"/>
        <v>2.3942537909033443E-4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4806.5079999999998</v>
      </c>
      <c r="D47" s="463">
        <f>LN_IB4*LN_IB5</f>
        <v>4454.2282000000005</v>
      </c>
      <c r="E47" s="463">
        <f t="shared" si="4"/>
        <v>-352.27979999999934</v>
      </c>
      <c r="F47" s="449">
        <f t="shared" si="5"/>
        <v>-7.3292252920415274E-2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11724.683075530094</v>
      </c>
      <c r="D48" s="465">
        <f>IF(LN_IB6=0,0,LN_IB2/LN_IB6)</f>
        <v>11602.997349799005</v>
      </c>
      <c r="E48" s="465">
        <f t="shared" si="4"/>
        <v>-121.68572573108941</v>
      </c>
      <c r="F48" s="449">
        <f t="shared" si="5"/>
        <v>-1.0378594026567134E-2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-3466.3374107718864</v>
      </c>
      <c r="D49" s="465">
        <f>LN_IA7-LN_IB7</f>
        <v>-4331.2922508490492</v>
      </c>
      <c r="E49" s="465">
        <f t="shared" si="4"/>
        <v>-864.95484007716277</v>
      </c>
      <c r="F49" s="449">
        <f t="shared" si="5"/>
        <v>0.24952990363524769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-16660978.495574357</v>
      </c>
      <c r="D50" s="479">
        <f>LN_IB8*LN_IB6</f>
        <v>-19292564.086173311</v>
      </c>
      <c r="E50" s="479">
        <f t="shared" si="4"/>
        <v>-2631585.5905989539</v>
      </c>
      <c r="F50" s="449">
        <f t="shared" si="5"/>
        <v>0.15794904190639103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12722</v>
      </c>
      <c r="D51" s="456">
        <v>11949</v>
      </c>
      <c r="E51" s="456">
        <f t="shared" si="4"/>
        <v>-773</v>
      </c>
      <c r="F51" s="449">
        <f t="shared" si="5"/>
        <v>-6.0760886653041975E-2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4429.7109731174342</v>
      </c>
      <c r="D52" s="465">
        <f>IF(LN_IB10=0,0,LN_IB2/LN_IB10)</f>
        <v>4325.2488074315843</v>
      </c>
      <c r="E52" s="465">
        <f t="shared" si="4"/>
        <v>-104.46216568584987</v>
      </c>
      <c r="F52" s="449">
        <f t="shared" si="5"/>
        <v>-2.358216288146087E-2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3.3164754953076119</v>
      </c>
      <c r="D53" s="466">
        <f>IF(LN_IB4=0,0,LN_IB10/LN_IB4)</f>
        <v>3.3621271806415307</v>
      </c>
      <c r="E53" s="466">
        <f t="shared" si="4"/>
        <v>4.5651685333918834E-2</v>
      </c>
      <c r="F53" s="449">
        <f t="shared" si="5"/>
        <v>1.3765120652484881E-2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177802934</v>
      </c>
      <c r="D56" s="448">
        <v>181935829</v>
      </c>
      <c r="E56" s="448">
        <f t="shared" ref="E56:E63" si="6">D56-C56</f>
        <v>4132895</v>
      </c>
      <c r="F56" s="449">
        <f t="shared" ref="F56:F63" si="7">IF(C56=0,0,E56/C56)</f>
        <v>2.324424522713444E-2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99051979</v>
      </c>
      <c r="D57" s="448">
        <v>102453556</v>
      </c>
      <c r="E57" s="448">
        <f t="shared" si="6"/>
        <v>3401577</v>
      </c>
      <c r="F57" s="449">
        <f t="shared" si="7"/>
        <v>3.4341333048984311E-2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0.55708855175584449</v>
      </c>
      <c r="D58" s="453">
        <f>IF(LN_IB13=0,0,LN_IB14/LN_IB13)</f>
        <v>0.56313017926776809</v>
      </c>
      <c r="E58" s="454">
        <f t="shared" si="6"/>
        <v>6.0416275119236085E-3</v>
      </c>
      <c r="F58" s="449">
        <f t="shared" si="7"/>
        <v>1.0845003891897379E-2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2.5050044174981676</v>
      </c>
      <c r="D59" s="453">
        <f>IF(LN_IB1=0,0,LN_IB13/LN_IB1)</f>
        <v>2.6002216484662699</v>
      </c>
      <c r="E59" s="454">
        <f t="shared" si="6"/>
        <v>9.5217230968102307E-2</v>
      </c>
      <c r="F59" s="449">
        <f t="shared" si="7"/>
        <v>3.80108036149489E-2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9609.1969455229701</v>
      </c>
      <c r="D60" s="463">
        <f>LN_IB16*LN_IB4</f>
        <v>9241.1877386491233</v>
      </c>
      <c r="E60" s="463">
        <f t="shared" si="6"/>
        <v>-368.00920687384678</v>
      </c>
      <c r="F60" s="449">
        <f t="shared" si="7"/>
        <v>-3.829760269876728E-2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10308.039221336743</v>
      </c>
      <c r="D61" s="465">
        <f>IF(LN_IB17=0,0,LN_IB14/LN_IB17)</f>
        <v>11086.622076890806</v>
      </c>
      <c r="E61" s="465">
        <f t="shared" si="6"/>
        <v>778.58285555406292</v>
      </c>
      <c r="F61" s="449">
        <f t="shared" si="7"/>
        <v>7.5531615551332421E-2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-4736.7086765467739</v>
      </c>
      <c r="D62" s="465">
        <f>LN_IA16-LN_IB18</f>
        <v>-5075.66999889815</v>
      </c>
      <c r="E62" s="465">
        <f t="shared" si="6"/>
        <v>-338.96132235137611</v>
      </c>
      <c r="F62" s="449">
        <f t="shared" si="7"/>
        <v>7.1560517122300785E-2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-45515966.546505406</v>
      </c>
      <c r="D63" s="448">
        <f>LN_IB19*LN_IB17</f>
        <v>-46905219.35924679</v>
      </c>
      <c r="E63" s="448">
        <f t="shared" si="6"/>
        <v>-1389252.8127413839</v>
      </c>
      <c r="F63" s="449">
        <f t="shared" si="7"/>
        <v>3.0522318169865316E-2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248782024</v>
      </c>
      <c r="D66" s="448">
        <f>LN_IB1+LN_IB13</f>
        <v>251905183</v>
      </c>
      <c r="E66" s="448">
        <f>D66-C66</f>
        <v>3123159</v>
      </c>
      <c r="F66" s="449">
        <f>IF(C66=0,0,E66/C66)</f>
        <v>1.2553796893299654E-2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155406762</v>
      </c>
      <c r="D67" s="448">
        <f>LN_IB2+LN_IB14</f>
        <v>154135954</v>
      </c>
      <c r="E67" s="448">
        <f>D67-C67</f>
        <v>-1270808</v>
      </c>
      <c r="F67" s="449">
        <f>IF(C67=0,0,E67/C67)</f>
        <v>-8.1773018345237779E-3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93375262</v>
      </c>
      <c r="D68" s="448">
        <f>LN_IB21-LN_IB22</f>
        <v>97769229</v>
      </c>
      <c r="E68" s="448">
        <f>D68-C68</f>
        <v>4393967</v>
      </c>
      <c r="F68" s="449">
        <f>IF(C68=0,0,E68/C68)</f>
        <v>4.7057078137033768E-2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-62176945.042079762</v>
      </c>
      <c r="D70" s="441">
        <f>LN_IB9+LN_IB20</f>
        <v>-66197783.445420101</v>
      </c>
      <c r="E70" s="448">
        <f>D70-C70</f>
        <v>-4020838.4033403397</v>
      </c>
      <c r="F70" s="449">
        <f>IF(C70=0,0,E70/C70)</f>
        <v>6.4667673855946753E-2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224371597</v>
      </c>
      <c r="D73" s="488">
        <v>226678237</v>
      </c>
      <c r="E73" s="488">
        <f>D73-C73</f>
        <v>2306640</v>
      </c>
      <c r="F73" s="489">
        <f>IF(C73=0,0,E73/C73)</f>
        <v>1.0280445612730563E-2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150837482</v>
      </c>
      <c r="D74" s="488">
        <v>149952877</v>
      </c>
      <c r="E74" s="488">
        <f>D74-C74</f>
        <v>-884605</v>
      </c>
      <c r="F74" s="489">
        <f>IF(C74=0,0,E74/C74)</f>
        <v>-5.864623224086968E-3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73534115</v>
      </c>
      <c r="D76" s="441">
        <f>LN_IB32-LN_IB33</f>
        <v>76725360</v>
      </c>
      <c r="E76" s="488">
        <f>D76-C76</f>
        <v>3191245</v>
      </c>
      <c r="F76" s="489">
        <f>IF(E76=0,0,E76/C76)</f>
        <v>4.3398156080344474E-2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0.32773361683564611</v>
      </c>
      <c r="D77" s="453">
        <f>IF(LN_IB32=0,0,LN_IB34/LN_IB32)</f>
        <v>0.33847695753871598</v>
      </c>
      <c r="E77" s="493">
        <f>D77-C77</f>
        <v>1.074334070306987E-2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2711434</v>
      </c>
      <c r="D83" s="448">
        <v>3027720</v>
      </c>
      <c r="E83" s="448">
        <f t="shared" ref="E83:E95" si="8">D83-C83</f>
        <v>316286</v>
      </c>
      <c r="F83" s="449">
        <f t="shared" ref="F83:F95" si="9">IF(C83=0,0,E83/C83)</f>
        <v>0.1166489761506273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706485</v>
      </c>
      <c r="D84" s="448">
        <v>493407</v>
      </c>
      <c r="E84" s="448">
        <f t="shared" si="8"/>
        <v>-213078</v>
      </c>
      <c r="F84" s="449">
        <f t="shared" si="9"/>
        <v>-0.3016030064332576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0.26055769751356661</v>
      </c>
      <c r="D85" s="453">
        <f>IF(LN_IC1=0,0,LN_IC2/LN_IC1)</f>
        <v>0.16296321984859893</v>
      </c>
      <c r="E85" s="454">
        <f t="shared" si="8"/>
        <v>-9.7594477664967677E-2</v>
      </c>
      <c r="F85" s="449">
        <f t="shared" si="9"/>
        <v>-0.37455994812775073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124</v>
      </c>
      <c r="D86" s="456">
        <v>132</v>
      </c>
      <c r="E86" s="456">
        <f t="shared" si="8"/>
        <v>8</v>
      </c>
      <c r="F86" s="449">
        <f t="shared" si="9"/>
        <v>6.4516129032258063E-2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1.1507000000000001</v>
      </c>
      <c r="D87" s="459">
        <v>0.99509999999999998</v>
      </c>
      <c r="E87" s="460">
        <f t="shared" si="8"/>
        <v>-0.15560000000000007</v>
      </c>
      <c r="F87" s="449">
        <f t="shared" si="9"/>
        <v>-0.13522203875901631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142.68680000000001</v>
      </c>
      <c r="D88" s="463">
        <f>LN_IC4*LN_IC5</f>
        <v>131.35319999999999</v>
      </c>
      <c r="E88" s="463">
        <f t="shared" si="8"/>
        <v>-11.333600000000018</v>
      </c>
      <c r="F88" s="449">
        <f t="shared" si="9"/>
        <v>-7.9429912227339999E-2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4951.2989288427516</v>
      </c>
      <c r="D89" s="465">
        <f>IF(LN_IC6=0,0,LN_IC2/LN_IC6)</f>
        <v>3756.3378737632584</v>
      </c>
      <c r="E89" s="465">
        <f t="shared" si="8"/>
        <v>-1194.9610550794932</v>
      </c>
      <c r="F89" s="449">
        <f t="shared" si="9"/>
        <v>-0.24134294298380951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6773.3841466873428</v>
      </c>
      <c r="D90" s="465">
        <f>LN_IB7-LN_IC7</f>
        <v>7846.6594760357466</v>
      </c>
      <c r="E90" s="465">
        <f t="shared" si="8"/>
        <v>1073.2753293484038</v>
      </c>
      <c r="F90" s="449">
        <f t="shared" si="9"/>
        <v>0.15845481462516936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3307.0467359154563</v>
      </c>
      <c r="D91" s="465">
        <f>LN_IA7-LN_IC7</f>
        <v>3515.3672251866974</v>
      </c>
      <c r="E91" s="465">
        <f t="shared" si="8"/>
        <v>208.32048927124106</v>
      </c>
      <c r="F91" s="449">
        <f t="shared" si="9"/>
        <v>6.2992907541590523E-2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471871.91619822156</v>
      </c>
      <c r="D92" s="441">
        <f>LN_IC9*LN_IC6</f>
        <v>461754.73420339328</v>
      </c>
      <c r="E92" s="441">
        <f t="shared" si="8"/>
        <v>-10117.181994828279</v>
      </c>
      <c r="F92" s="449">
        <f t="shared" si="9"/>
        <v>-2.1440525802722925E-2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595</v>
      </c>
      <c r="D93" s="456">
        <v>496</v>
      </c>
      <c r="E93" s="456">
        <f t="shared" si="8"/>
        <v>-99</v>
      </c>
      <c r="F93" s="449">
        <f t="shared" si="9"/>
        <v>-0.16638655462184873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1187.3697478991596</v>
      </c>
      <c r="D94" s="499">
        <f>IF(LN_IC11=0,0,LN_IC2/LN_IC11)</f>
        <v>994.77217741935488</v>
      </c>
      <c r="E94" s="499">
        <f t="shared" si="8"/>
        <v>-192.59757047980474</v>
      </c>
      <c r="F94" s="449">
        <f t="shared" si="9"/>
        <v>-0.16220521941086341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4.7983870967741939</v>
      </c>
      <c r="D95" s="466">
        <f>IF(LN_IC4=0,0,LN_IC11/LN_IC4)</f>
        <v>3.7575757575757578</v>
      </c>
      <c r="E95" s="466">
        <f t="shared" si="8"/>
        <v>-1.0408113391984362</v>
      </c>
      <c r="F95" s="449">
        <f t="shared" si="9"/>
        <v>-0.216908581614464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10411627</v>
      </c>
      <c r="D98" s="448">
        <v>11449862</v>
      </c>
      <c r="E98" s="448">
        <f t="shared" ref="E98:E106" si="10">D98-C98</f>
        <v>1038235</v>
      </c>
      <c r="F98" s="449">
        <f t="shared" ref="F98:F106" si="11">IF(C98=0,0,E98/C98)</f>
        <v>9.971880475549115E-2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1974665</v>
      </c>
      <c r="D99" s="448">
        <v>1892058</v>
      </c>
      <c r="E99" s="448">
        <f t="shared" si="10"/>
        <v>-82607</v>
      </c>
      <c r="F99" s="449">
        <f t="shared" si="11"/>
        <v>-4.1833424910048031E-2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0.18965959883119132</v>
      </c>
      <c r="D100" s="453">
        <f>IF(LN_IC14=0,0,LN_IC15/LN_IC14)</f>
        <v>0.1652472318006977</v>
      </c>
      <c r="E100" s="454">
        <f t="shared" si="10"/>
        <v>-2.4412367030493626E-2</v>
      </c>
      <c r="F100" s="449">
        <f t="shared" si="11"/>
        <v>-0.12871674927574919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3.8398968958860884</v>
      </c>
      <c r="D101" s="453">
        <f>IF(LN_IC1=0,0,LN_IC14/LN_IC1)</f>
        <v>3.7816779622950603</v>
      </c>
      <c r="E101" s="454">
        <f t="shared" si="10"/>
        <v>-5.8218933591028144E-2</v>
      </c>
      <c r="F101" s="449">
        <f t="shared" si="11"/>
        <v>-1.5161587711743399E-2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476.14721508987498</v>
      </c>
      <c r="D102" s="463">
        <f>LN_IC17*LN_IC4</f>
        <v>499.18149102294797</v>
      </c>
      <c r="E102" s="463">
        <f t="shared" si="10"/>
        <v>23.03427593307299</v>
      </c>
      <c r="F102" s="449">
        <f t="shared" si="11"/>
        <v>4.8376374371369921E-2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4147.1732636875195</v>
      </c>
      <c r="D103" s="465">
        <f>IF(LN_IC18=0,0,LN_IC15/LN_IC18)</f>
        <v>3790.3208232394577</v>
      </c>
      <c r="E103" s="465">
        <f t="shared" si="10"/>
        <v>-356.85244044806177</v>
      </c>
      <c r="F103" s="449">
        <f t="shared" si="11"/>
        <v>-8.6047150132994743E-2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6160.8659576492237</v>
      </c>
      <c r="D104" s="465">
        <f>LN_IB18-LN_IC19</f>
        <v>7296.3012536513488</v>
      </c>
      <c r="E104" s="465">
        <f t="shared" si="10"/>
        <v>1135.4352960021251</v>
      </c>
      <c r="F104" s="449">
        <f t="shared" si="11"/>
        <v>0.18429800352860923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1424.1572811024498</v>
      </c>
      <c r="D105" s="465">
        <f>LN_IA16-LN_IC19</f>
        <v>2220.6312547531984</v>
      </c>
      <c r="E105" s="465">
        <f t="shared" si="10"/>
        <v>796.47397365074858</v>
      </c>
      <c r="F105" s="449">
        <f t="shared" si="11"/>
        <v>0.55925984034164589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678108.52324689971</v>
      </c>
      <c r="D106" s="448">
        <f>LN_IC21*LN_IC18</f>
        <v>1108498.0207598615</v>
      </c>
      <c r="E106" s="448">
        <f t="shared" si="10"/>
        <v>430389.49751296174</v>
      </c>
      <c r="F106" s="449">
        <f t="shared" si="11"/>
        <v>0.63469117812025588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13123061</v>
      </c>
      <c r="D109" s="448">
        <f>LN_IC1+LN_IC14</f>
        <v>14477582</v>
      </c>
      <c r="E109" s="448">
        <f>D109-C109</f>
        <v>1354521</v>
      </c>
      <c r="F109" s="449">
        <f>IF(C109=0,0,E109/C109)</f>
        <v>0.10321684856909527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2681150</v>
      </c>
      <c r="D110" s="448">
        <f>LN_IC2+LN_IC15</f>
        <v>2385465</v>
      </c>
      <c r="E110" s="448">
        <f>D110-C110</f>
        <v>-295685</v>
      </c>
      <c r="F110" s="449">
        <f>IF(C110=0,0,E110/C110)</f>
        <v>-0.11028290099397646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10441911</v>
      </c>
      <c r="D111" s="448">
        <f>LN_IC23-LN_IC24</f>
        <v>12092117</v>
      </c>
      <c r="E111" s="448">
        <f>D111-C111</f>
        <v>1650206</v>
      </c>
      <c r="F111" s="449">
        <f>IF(C111=0,0,E111/C111)</f>
        <v>0.15803678081531244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1149980.4394451212</v>
      </c>
      <c r="D113" s="448">
        <f>LN_IC10+LN_IC22</f>
        <v>1570252.7549632548</v>
      </c>
      <c r="E113" s="448">
        <f>D113-C113</f>
        <v>420272.31551813358</v>
      </c>
      <c r="F113" s="449">
        <f>IF(C113=0,0,E113/C113)</f>
        <v>0.3654604035881861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36860359</v>
      </c>
      <c r="D118" s="448">
        <v>39100309</v>
      </c>
      <c r="E118" s="448">
        <f t="shared" ref="E118:E130" si="12">D118-C118</f>
        <v>2239950</v>
      </c>
      <c r="F118" s="449">
        <f t="shared" ref="F118:F130" si="13">IF(C118=0,0,E118/C118)</f>
        <v>6.0768534565819071E-2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10267905</v>
      </c>
      <c r="D119" s="448">
        <v>11717559</v>
      </c>
      <c r="E119" s="448">
        <f t="shared" si="12"/>
        <v>1449654</v>
      </c>
      <c r="F119" s="449">
        <f t="shared" si="13"/>
        <v>0.14118303587732844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0.27856226251079108</v>
      </c>
      <c r="D120" s="453">
        <f>IF(LN_ID1=0,0,LN_1D2/LN_ID1)</f>
        <v>0.29967944754605391</v>
      </c>
      <c r="E120" s="454">
        <f t="shared" si="12"/>
        <v>2.1117185035262831E-2</v>
      </c>
      <c r="F120" s="449">
        <f t="shared" si="13"/>
        <v>7.5807773978159673E-2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2286</v>
      </c>
      <c r="D121" s="456">
        <v>2341</v>
      </c>
      <c r="E121" s="456">
        <f t="shared" si="12"/>
        <v>55</v>
      </c>
      <c r="F121" s="449">
        <f t="shared" si="13"/>
        <v>2.4059492563429572E-2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1.0051000000000001</v>
      </c>
      <c r="D122" s="459">
        <v>1.0599000000000001</v>
      </c>
      <c r="E122" s="460">
        <f t="shared" si="12"/>
        <v>5.479999999999996E-2</v>
      </c>
      <c r="F122" s="449">
        <f t="shared" si="13"/>
        <v>5.452193811561034E-2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2297.6586000000002</v>
      </c>
      <c r="D123" s="463">
        <f>LN_ID4*LN_ID5</f>
        <v>2481.2259000000004</v>
      </c>
      <c r="E123" s="463">
        <f t="shared" si="12"/>
        <v>183.56730000000016</v>
      </c>
      <c r="F123" s="449">
        <f t="shared" si="13"/>
        <v>7.9893200843676321E-2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4468.8558169607959</v>
      </c>
      <c r="D124" s="465">
        <f>IF(LN_ID6=0,0,LN_1D2/LN_ID6)</f>
        <v>4722.4877831558979</v>
      </c>
      <c r="E124" s="465">
        <f t="shared" si="12"/>
        <v>253.631966195102</v>
      </c>
      <c r="F124" s="449">
        <f t="shared" si="13"/>
        <v>5.6755459693392706E-2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7255.8272585692985</v>
      </c>
      <c r="D125" s="465">
        <f>LN_IB7-LN_ID7</f>
        <v>6880.5095666431071</v>
      </c>
      <c r="E125" s="465">
        <f t="shared" si="12"/>
        <v>-375.3176919261914</v>
      </c>
      <c r="F125" s="449">
        <f t="shared" si="13"/>
        <v>-5.1726381920536024E-2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3789.489847797412</v>
      </c>
      <c r="D126" s="465">
        <f>LN_IA7-LN_ID7</f>
        <v>2549.2173157940579</v>
      </c>
      <c r="E126" s="465">
        <f t="shared" si="12"/>
        <v>-1240.2725320033542</v>
      </c>
      <c r="F126" s="449">
        <f t="shared" si="13"/>
        <v>-0.32729274435825317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8706953.9384044148</v>
      </c>
      <c r="D127" s="479">
        <f>LN_ID9*LN_ID6</f>
        <v>6325184.0286766961</v>
      </c>
      <c r="E127" s="479">
        <f t="shared" si="12"/>
        <v>-2381769.9097277187</v>
      </c>
      <c r="F127" s="449">
        <f t="shared" si="13"/>
        <v>-0.27354800847426874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8812</v>
      </c>
      <c r="D128" s="456">
        <v>9062</v>
      </c>
      <c r="E128" s="456">
        <f t="shared" si="12"/>
        <v>250</v>
      </c>
      <c r="F128" s="449">
        <f t="shared" si="13"/>
        <v>2.8370403994552883E-2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1165.2184521107581</v>
      </c>
      <c r="D129" s="465">
        <f>IF(LN_ID11=0,0,LN_1D2/LN_ID11)</f>
        <v>1293.0433679099538</v>
      </c>
      <c r="E129" s="465">
        <f t="shared" si="12"/>
        <v>127.82491579919565</v>
      </c>
      <c r="F129" s="449">
        <f t="shared" si="13"/>
        <v>0.10970038756908172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3.8547681539807526</v>
      </c>
      <c r="D130" s="466">
        <f>IF(LN_ID4=0,0,LN_ID11/LN_ID4)</f>
        <v>3.8709953011533531</v>
      </c>
      <c r="E130" s="466">
        <f t="shared" si="12"/>
        <v>1.6227147172600542E-2</v>
      </c>
      <c r="F130" s="449">
        <f t="shared" si="13"/>
        <v>4.2096298725107627E-3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70686346</v>
      </c>
      <c r="D133" s="448">
        <v>83926391</v>
      </c>
      <c r="E133" s="448">
        <f t="shared" ref="E133:E141" si="14">D133-C133</f>
        <v>13240045</v>
      </c>
      <c r="F133" s="449">
        <f t="shared" ref="F133:F141" si="15">IF(C133=0,0,E133/C133)</f>
        <v>0.18730696590258039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15800535</v>
      </c>
      <c r="D134" s="448">
        <v>19514011</v>
      </c>
      <c r="E134" s="448">
        <f t="shared" si="14"/>
        <v>3713476</v>
      </c>
      <c r="F134" s="449">
        <f t="shared" si="15"/>
        <v>0.23502216855315342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0.22353022746429699</v>
      </c>
      <c r="D135" s="453">
        <f>IF(LN_ID14=0,0,LN_ID15/LN_ID14)</f>
        <v>0.23251340570572135</v>
      </c>
      <c r="E135" s="454">
        <f t="shared" si="14"/>
        <v>8.9831782414243611E-3</v>
      </c>
      <c r="F135" s="449">
        <f t="shared" si="15"/>
        <v>4.0187756006552562E-2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1.9176792608015565</v>
      </c>
      <c r="D136" s="453">
        <f>IF(LN_ID1=0,0,LN_ID14/LN_ID1)</f>
        <v>2.1464380498885571</v>
      </c>
      <c r="E136" s="454">
        <f t="shared" si="14"/>
        <v>0.22875878908700065</v>
      </c>
      <c r="F136" s="449">
        <f t="shared" si="15"/>
        <v>0.11928938992195361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4383.8147901923585</v>
      </c>
      <c r="D137" s="463">
        <f>LN_ID17*LN_ID4</f>
        <v>5024.8114747891123</v>
      </c>
      <c r="E137" s="463">
        <f t="shared" si="14"/>
        <v>640.99668459675377</v>
      </c>
      <c r="F137" s="449">
        <f t="shared" si="15"/>
        <v>0.14621892467510639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3604.2889027496267</v>
      </c>
      <c r="D138" s="465">
        <f>IF(LN_ID18=0,0,LN_ID15/LN_ID18)</f>
        <v>3883.5309738300161</v>
      </c>
      <c r="E138" s="465">
        <f t="shared" si="14"/>
        <v>279.24207108038945</v>
      </c>
      <c r="F138" s="449">
        <f t="shared" si="15"/>
        <v>7.7474941275479409E-2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6703.7503185871165</v>
      </c>
      <c r="D139" s="465">
        <f>LN_IB18-LN_ID19</f>
        <v>7203.0911030607895</v>
      </c>
      <c r="E139" s="465">
        <f t="shared" si="14"/>
        <v>499.34078447367301</v>
      </c>
      <c r="F139" s="449">
        <f t="shared" si="15"/>
        <v>7.4486781389989792E-2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1967.0416420403426</v>
      </c>
      <c r="D140" s="465">
        <f>LN_IA16-LN_ID19</f>
        <v>2127.4211041626399</v>
      </c>
      <c r="E140" s="465">
        <f t="shared" si="14"/>
        <v>160.37946212229735</v>
      </c>
      <c r="F140" s="449">
        <f t="shared" si="15"/>
        <v>8.1533333455992021E-2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8623146.2433007173</v>
      </c>
      <c r="D141" s="441">
        <f>LN_ID21*LN_ID18</f>
        <v>10689889.975904956</v>
      </c>
      <c r="E141" s="441">
        <f t="shared" si="14"/>
        <v>2066743.7326042391</v>
      </c>
      <c r="F141" s="449">
        <f t="shared" si="15"/>
        <v>0.23967397447421038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107546705</v>
      </c>
      <c r="D144" s="448">
        <f>LN_ID1+LN_ID14</f>
        <v>123026700</v>
      </c>
      <c r="E144" s="448">
        <f>D144-C144</f>
        <v>15479995</v>
      </c>
      <c r="F144" s="449">
        <f>IF(C144=0,0,E144/C144)</f>
        <v>0.14393741770145352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26068440</v>
      </c>
      <c r="D145" s="448">
        <f>LN_1D2+LN_ID15</f>
        <v>31231570</v>
      </c>
      <c r="E145" s="448">
        <f>D145-C145</f>
        <v>5163130</v>
      </c>
      <c r="F145" s="449">
        <f>IF(C145=0,0,E145/C145)</f>
        <v>0.19806056672359373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81478265</v>
      </c>
      <c r="D146" s="448">
        <f>LN_ID23-LN_ID24</f>
        <v>91795130</v>
      </c>
      <c r="E146" s="448">
        <f>D146-C146</f>
        <v>10316865</v>
      </c>
      <c r="F146" s="449">
        <f>IF(C146=0,0,E146/C146)</f>
        <v>0.12662106882123716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17330100.181705132</v>
      </c>
      <c r="D148" s="448">
        <f>LN_ID10+LN_ID22</f>
        <v>17015074.004581653</v>
      </c>
      <c r="E148" s="448">
        <f>D148-C148</f>
        <v>-315026.17712347955</v>
      </c>
      <c r="F148" s="503">
        <f>IF(C148=0,0,E148/C148)</f>
        <v>-1.8177977843200424E-2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1256504</v>
      </c>
      <c r="D153" s="448">
        <v>1010833</v>
      </c>
      <c r="E153" s="448">
        <f t="shared" ref="E153:E165" si="16">D153-C153</f>
        <v>-245671</v>
      </c>
      <c r="F153" s="449">
        <f t="shared" ref="F153:F165" si="17">IF(C153=0,0,E153/C153)</f>
        <v>-0.19551947307768219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362821</v>
      </c>
      <c r="D154" s="448">
        <v>320644</v>
      </c>
      <c r="E154" s="448">
        <f t="shared" si="16"/>
        <v>-42177</v>
      </c>
      <c r="F154" s="449">
        <f t="shared" si="17"/>
        <v>-0.11624740574553293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0.28875435334865629</v>
      </c>
      <c r="D155" s="453">
        <f>IF(LN_IE1=0,0,LN_IE2/LN_IE1)</f>
        <v>0.31720768910393704</v>
      </c>
      <c r="E155" s="454">
        <f t="shared" si="16"/>
        <v>2.8453335755280751E-2</v>
      </c>
      <c r="F155" s="449">
        <f t="shared" si="17"/>
        <v>9.8538205312959509E-2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61</v>
      </c>
      <c r="D156" s="506">
        <v>68</v>
      </c>
      <c r="E156" s="506">
        <f t="shared" si="16"/>
        <v>7</v>
      </c>
      <c r="F156" s="449">
        <f t="shared" si="17"/>
        <v>0.11475409836065574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1.0233000000000001</v>
      </c>
      <c r="D157" s="459">
        <v>0.90539999999999998</v>
      </c>
      <c r="E157" s="460">
        <f t="shared" si="16"/>
        <v>-0.11790000000000012</v>
      </c>
      <c r="F157" s="449">
        <f t="shared" si="17"/>
        <v>-0.11521547933157442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62.421300000000009</v>
      </c>
      <c r="D158" s="463">
        <f>LN_IE4*LN_IE5</f>
        <v>61.5672</v>
      </c>
      <c r="E158" s="463">
        <f t="shared" si="16"/>
        <v>-0.85410000000000963</v>
      </c>
      <c r="F158" s="449">
        <f t="shared" si="17"/>
        <v>-1.3682829418804311E-2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5812.455043390637</v>
      </c>
      <c r="D159" s="465">
        <f>IF(LN_IE6=0,0,LN_IE2/LN_IE6)</f>
        <v>5208.0328486596763</v>
      </c>
      <c r="E159" s="465">
        <f t="shared" si="16"/>
        <v>-604.42219473096065</v>
      </c>
      <c r="F159" s="449">
        <f t="shared" si="17"/>
        <v>-0.10398741843487481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5912.2280321394574</v>
      </c>
      <c r="D160" s="465">
        <f>LN_IB7-LN_IE7</f>
        <v>6394.9645011393286</v>
      </c>
      <c r="E160" s="465">
        <f t="shared" si="16"/>
        <v>482.73646899987125</v>
      </c>
      <c r="F160" s="449">
        <f t="shared" si="17"/>
        <v>8.16505159096821E-2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2445.8906213675709</v>
      </c>
      <c r="D161" s="465">
        <f>LN_IA7-LN_IE7</f>
        <v>2063.6722502902794</v>
      </c>
      <c r="E161" s="465">
        <f t="shared" si="16"/>
        <v>-382.21837107729152</v>
      </c>
      <c r="F161" s="449">
        <f t="shared" si="17"/>
        <v>-0.15626960900793746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152675.67224357158</v>
      </c>
      <c r="D162" s="479">
        <f>LN_IE9*LN_IE6</f>
        <v>127054.52216807169</v>
      </c>
      <c r="E162" s="479">
        <f t="shared" si="16"/>
        <v>-25621.150075499885</v>
      </c>
      <c r="F162" s="449">
        <f t="shared" si="17"/>
        <v>-0.16781422802334289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273</v>
      </c>
      <c r="D163" s="456">
        <v>240</v>
      </c>
      <c r="E163" s="506">
        <f t="shared" si="16"/>
        <v>-33</v>
      </c>
      <c r="F163" s="449">
        <f t="shared" si="17"/>
        <v>-0.12087912087912088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1329.014652014652</v>
      </c>
      <c r="D164" s="465">
        <f>IF(LN_IE11=0,0,LN_IE2/LN_IE11)</f>
        <v>1336.0166666666667</v>
      </c>
      <c r="E164" s="465">
        <f t="shared" si="16"/>
        <v>7.0020146520146227</v>
      </c>
      <c r="F164" s="449">
        <f t="shared" si="17"/>
        <v>5.2685759644562798E-3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4.4754098360655741</v>
      </c>
      <c r="D165" s="466">
        <f>IF(LN_IE4=0,0,LN_IE11/LN_IE4)</f>
        <v>3.5294117647058822</v>
      </c>
      <c r="E165" s="466">
        <f t="shared" si="16"/>
        <v>-0.94599807135969183</v>
      </c>
      <c r="F165" s="449">
        <f t="shared" si="17"/>
        <v>-0.21137685843568205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1179222</v>
      </c>
      <c r="D168" s="511">
        <v>1975207</v>
      </c>
      <c r="E168" s="511">
        <f t="shared" ref="E168:E176" si="18">D168-C168</f>
        <v>795985</v>
      </c>
      <c r="F168" s="449">
        <f t="shared" ref="F168:F176" si="19">IF(C168=0,0,E168/C168)</f>
        <v>0.67500860736994395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266662</v>
      </c>
      <c r="D169" s="511">
        <v>503879</v>
      </c>
      <c r="E169" s="511">
        <f t="shared" si="18"/>
        <v>237217</v>
      </c>
      <c r="F169" s="449">
        <f t="shared" si="19"/>
        <v>0.88957931763805864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0.22613384078655249</v>
      </c>
      <c r="D170" s="453">
        <f>IF(LN_IE14=0,0,LN_IE15/LN_IE14)</f>
        <v>0.25510187033561543</v>
      </c>
      <c r="E170" s="454">
        <f t="shared" si="18"/>
        <v>2.896802954906294E-2</v>
      </c>
      <c r="F170" s="449">
        <f t="shared" si="19"/>
        <v>0.12810125830041438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0.93849442580365838</v>
      </c>
      <c r="D171" s="453">
        <f>IF(LN_IE1=0,0,LN_IE14/LN_IE1)</f>
        <v>1.9540388966327771</v>
      </c>
      <c r="E171" s="454">
        <f t="shared" si="18"/>
        <v>1.0155444708291186</v>
      </c>
      <c r="F171" s="449">
        <f t="shared" si="19"/>
        <v>1.0820996299040138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57.24815997402316</v>
      </c>
      <c r="D172" s="463">
        <f>LN_IE17*LN_IE4</f>
        <v>132.87464497102883</v>
      </c>
      <c r="E172" s="463">
        <f t="shared" si="18"/>
        <v>75.626484997005662</v>
      </c>
      <c r="F172" s="449">
        <f t="shared" si="19"/>
        <v>1.3210290956307036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4658.0012374371536</v>
      </c>
      <c r="D173" s="465">
        <f>IF(LN_IE18=0,0,LN_IE15/LN_IE18)</f>
        <v>3792.1380720141356</v>
      </c>
      <c r="E173" s="465">
        <f t="shared" si="18"/>
        <v>-865.86316542301802</v>
      </c>
      <c r="F173" s="449">
        <f t="shared" si="19"/>
        <v>-0.18588727681391054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5650.0379838995896</v>
      </c>
      <c r="D174" s="465">
        <f>LN_IB18-LN_IE19</f>
        <v>7294.484004876671</v>
      </c>
      <c r="E174" s="465">
        <f t="shared" si="18"/>
        <v>1644.4460209770814</v>
      </c>
      <c r="F174" s="449">
        <f t="shared" si="19"/>
        <v>0.29105043641531486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913.3293073528157</v>
      </c>
      <c r="D175" s="465">
        <f>LN_IA16-LN_IE19</f>
        <v>2218.8140059785205</v>
      </c>
      <c r="E175" s="465">
        <f t="shared" si="18"/>
        <v>1305.4846986257048</v>
      </c>
      <c r="F175" s="449">
        <f t="shared" si="19"/>
        <v>1.4293691093845529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52286.422296297758</v>
      </c>
      <c r="D176" s="441">
        <f>LN_IE21*LN_IE18</f>
        <v>294824.12330114213</v>
      </c>
      <c r="E176" s="441">
        <f t="shared" si="18"/>
        <v>242537.70100484436</v>
      </c>
      <c r="F176" s="449">
        <f t="shared" si="19"/>
        <v>4.6386363869079972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2435726</v>
      </c>
      <c r="D179" s="448">
        <f>LN_IE1+LN_IE14</f>
        <v>2986040</v>
      </c>
      <c r="E179" s="448">
        <f>D179-C179</f>
        <v>550314</v>
      </c>
      <c r="F179" s="449">
        <f>IF(C179=0,0,E179/C179)</f>
        <v>0.22593427996416673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629483</v>
      </c>
      <c r="D180" s="448">
        <f>LN_IE15+LN_IE2</f>
        <v>824523</v>
      </c>
      <c r="E180" s="448">
        <f>D180-C180</f>
        <v>195040</v>
      </c>
      <c r="F180" s="449">
        <f>IF(C180=0,0,E180/C180)</f>
        <v>0.30984156839819343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1806243</v>
      </c>
      <c r="D181" s="448">
        <f>LN_IE23-LN_IE24</f>
        <v>2161517</v>
      </c>
      <c r="E181" s="448">
        <f>D181-C181</f>
        <v>355274</v>
      </c>
      <c r="F181" s="449">
        <f>IF(C181=0,0,E181/C181)</f>
        <v>0.19669225015681721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204962.09453986934</v>
      </c>
      <c r="D183" s="448">
        <f>LN_IE10+LN_IE22</f>
        <v>421878.64546921384</v>
      </c>
      <c r="E183" s="441">
        <f>D183-C183</f>
        <v>216916.55092934449</v>
      </c>
      <c r="F183" s="449">
        <f>IF(C183=0,0,E183/C183)</f>
        <v>1.0583252060158361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38116863</v>
      </c>
      <c r="D188" s="448">
        <f>LN_ID1+LN_IE1</f>
        <v>40111142</v>
      </c>
      <c r="E188" s="448">
        <f t="shared" ref="E188:E200" si="20">D188-C188</f>
        <v>1994279</v>
      </c>
      <c r="F188" s="449">
        <f t="shared" ref="F188:F200" si="21">IF(C188=0,0,E188/C188)</f>
        <v>5.2320124035390846E-2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10630726</v>
      </c>
      <c r="D189" s="448">
        <f>LN_1D2+LN_IE2</f>
        <v>12038203</v>
      </c>
      <c r="E189" s="448">
        <f t="shared" si="20"/>
        <v>1407477</v>
      </c>
      <c r="F189" s="449">
        <f t="shared" si="21"/>
        <v>0.13239707241067072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0.27889823986827039</v>
      </c>
      <c r="D190" s="453">
        <f>IF(LN_IF1=0,0,LN_IF2/LN_IF1)</f>
        <v>0.30012117331388871</v>
      </c>
      <c r="E190" s="454">
        <f t="shared" si="20"/>
        <v>2.1222933445618319E-2</v>
      </c>
      <c r="F190" s="449">
        <f t="shared" si="21"/>
        <v>7.6095616292316384E-2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2347</v>
      </c>
      <c r="D191" s="456">
        <f>LN_ID4+LN_IE4</f>
        <v>2409</v>
      </c>
      <c r="E191" s="456">
        <f t="shared" si="20"/>
        <v>62</v>
      </c>
      <c r="F191" s="449">
        <f t="shared" si="21"/>
        <v>2.6416702172986792E-2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1.0055730293992331</v>
      </c>
      <c r="D192" s="459">
        <f>IF((LN_ID4+LN_IE4)=0,0,(LN_ID6+LN_IE6)/(LN_ID4+LN_IE4))</f>
        <v>1.0555388542963886</v>
      </c>
      <c r="E192" s="460">
        <f t="shared" si="20"/>
        <v>4.9965824897155509E-2</v>
      </c>
      <c r="F192" s="449">
        <f t="shared" si="21"/>
        <v>4.9688907156755148E-2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2360.0799000000002</v>
      </c>
      <c r="D193" s="463">
        <f>LN_IF4*LN_IF5</f>
        <v>2542.7931000000003</v>
      </c>
      <c r="E193" s="463">
        <f t="shared" si="20"/>
        <v>182.71320000000014</v>
      </c>
      <c r="F193" s="449">
        <f t="shared" si="21"/>
        <v>7.7418226391403153E-2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4504.3924148500228</v>
      </c>
      <c r="D194" s="465">
        <f>IF(LN_IF6=0,0,LN_IF2/LN_IF6)</f>
        <v>4734.2440090780483</v>
      </c>
      <c r="E194" s="465">
        <f t="shared" si="20"/>
        <v>229.85159422802553</v>
      </c>
      <c r="F194" s="449">
        <f t="shared" si="21"/>
        <v>5.1028323702493987E-2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7220.2906606800716</v>
      </c>
      <c r="D195" s="465">
        <f>LN_IB7-LN_IF7</f>
        <v>6868.7533407209567</v>
      </c>
      <c r="E195" s="465">
        <f t="shared" si="20"/>
        <v>-351.53731995911494</v>
      </c>
      <c r="F195" s="449">
        <f t="shared" si="21"/>
        <v>-4.8687419451615817E-2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3753.9532499081852</v>
      </c>
      <c r="D196" s="465">
        <f>LN_IA7-LN_IF7</f>
        <v>2537.4610898719075</v>
      </c>
      <c r="E196" s="465">
        <f t="shared" si="20"/>
        <v>-1216.4921600362777</v>
      </c>
      <c r="F196" s="449">
        <f t="shared" si="21"/>
        <v>-0.3240562892108555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8859629.6106479857</v>
      </c>
      <c r="D197" s="479">
        <f>LN_IF9*LN_IF6</f>
        <v>6452238.5508447671</v>
      </c>
      <c r="E197" s="479">
        <f t="shared" si="20"/>
        <v>-2407391.0598032186</v>
      </c>
      <c r="F197" s="449">
        <f t="shared" si="21"/>
        <v>-0.27172592598113637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9085</v>
      </c>
      <c r="D198" s="456">
        <f>LN_ID11+LN_IE11</f>
        <v>9302</v>
      </c>
      <c r="E198" s="456">
        <f t="shared" si="20"/>
        <v>217</v>
      </c>
      <c r="F198" s="449">
        <f t="shared" si="21"/>
        <v>2.3885525591634562E-2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1170.1404512933407</v>
      </c>
      <c r="D199" s="519">
        <f>IF(LN_IF11=0,0,LN_IF2/LN_IF11)</f>
        <v>1294.1521178241239</v>
      </c>
      <c r="E199" s="519">
        <f t="shared" si="20"/>
        <v>124.01166653078326</v>
      </c>
      <c r="F199" s="449">
        <f t="shared" si="21"/>
        <v>0.10598015511190542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3.8708990200255644</v>
      </c>
      <c r="D200" s="466">
        <f>IF(LN_IF4=0,0,LN_IF11/LN_IF4)</f>
        <v>3.8613532586135326</v>
      </c>
      <c r="E200" s="466">
        <f t="shared" si="20"/>
        <v>-9.5457614120317835E-3</v>
      </c>
      <c r="F200" s="449">
        <f t="shared" si="21"/>
        <v>-2.4660321446382605E-3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71865568</v>
      </c>
      <c r="D203" s="448">
        <f>LN_ID14+LN_IE14</f>
        <v>85901598</v>
      </c>
      <c r="E203" s="448">
        <f t="shared" ref="E203:E211" si="22">D203-C203</f>
        <v>14036030</v>
      </c>
      <c r="F203" s="449">
        <f t="shared" ref="F203:F211" si="23">IF(C203=0,0,E203/C203)</f>
        <v>0.19530952569664517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16067197</v>
      </c>
      <c r="D204" s="448">
        <f>LN_ID15+LN_IE15</f>
        <v>20017890</v>
      </c>
      <c r="E204" s="448">
        <f t="shared" si="22"/>
        <v>3950693</v>
      </c>
      <c r="F204" s="449">
        <f t="shared" si="23"/>
        <v>0.24588563892009291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0.22357294942690775</v>
      </c>
      <c r="D205" s="453">
        <f>IF(LN_IF14=0,0,LN_IF15/LN_IF14)</f>
        <v>0.23303280108945121</v>
      </c>
      <c r="E205" s="454">
        <f t="shared" si="22"/>
        <v>9.4598516625434559E-3</v>
      </c>
      <c r="F205" s="449">
        <f t="shared" si="23"/>
        <v>4.2312147720876873E-2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1.8854009051059633</v>
      </c>
      <c r="D206" s="453">
        <f>IF(LN_IF1=0,0,LN_IF14/LN_IF1)</f>
        <v>2.1415894366707384</v>
      </c>
      <c r="E206" s="454">
        <f t="shared" si="22"/>
        <v>0.25618853156477517</v>
      </c>
      <c r="F206" s="449">
        <f t="shared" si="23"/>
        <v>0.13588013608722485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4441.0629501663816</v>
      </c>
      <c r="D207" s="463">
        <f>LN_ID18+LN_IE18</f>
        <v>5157.6861197601411</v>
      </c>
      <c r="E207" s="463">
        <f t="shared" si="22"/>
        <v>716.62316959375948</v>
      </c>
      <c r="F207" s="449">
        <f t="shared" si="23"/>
        <v>0.16136298396016019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3617.8719329790297</v>
      </c>
      <c r="D208" s="465">
        <f>IF(LN_IF18=0,0,LN_IF15/LN_IF18)</f>
        <v>3881.1764685150974</v>
      </c>
      <c r="E208" s="465">
        <f t="shared" si="22"/>
        <v>263.30453553606776</v>
      </c>
      <c r="F208" s="449">
        <f t="shared" si="23"/>
        <v>7.2778843589208372E-2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6690.1672883577139</v>
      </c>
      <c r="D209" s="465">
        <f>LN_IB18-LN_IF19</f>
        <v>7205.4456083757086</v>
      </c>
      <c r="E209" s="465">
        <f t="shared" si="22"/>
        <v>515.2783200179947</v>
      </c>
      <c r="F209" s="449">
        <f t="shared" si="23"/>
        <v>7.70202444585633E-2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1953.4586118109396</v>
      </c>
      <c r="D210" s="465">
        <f>LN_IA16-LN_IF19</f>
        <v>2129.7756094775586</v>
      </c>
      <c r="E210" s="465">
        <f t="shared" si="22"/>
        <v>176.31699766661905</v>
      </c>
      <c r="F210" s="449">
        <f t="shared" si="23"/>
        <v>9.0258885752980272E-2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8675432.665597016</v>
      </c>
      <c r="D211" s="441">
        <f>LN_IF21*LN_IF18</f>
        <v>10984714.099206099</v>
      </c>
      <c r="E211" s="441">
        <f t="shared" si="22"/>
        <v>2309281.4336090833</v>
      </c>
      <c r="F211" s="449">
        <f t="shared" si="23"/>
        <v>0.26618631284716054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109982431</v>
      </c>
      <c r="D214" s="448">
        <f>LN_IF1+LN_IF14</f>
        <v>126012740</v>
      </c>
      <c r="E214" s="448">
        <f>D214-C214</f>
        <v>16030309</v>
      </c>
      <c r="F214" s="449">
        <f>IF(C214=0,0,E214/C214)</f>
        <v>0.14575336128003935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26697923</v>
      </c>
      <c r="D215" s="448">
        <f>LN_IF2+LN_IF15</f>
        <v>32056093</v>
      </c>
      <c r="E215" s="448">
        <f>D215-C215</f>
        <v>5358170</v>
      </c>
      <c r="F215" s="449">
        <f>IF(C215=0,0,E215/C215)</f>
        <v>0.20069613654964846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83284508</v>
      </c>
      <c r="D216" s="448">
        <f>LN_IF23-LN_IF24</f>
        <v>93956647</v>
      </c>
      <c r="E216" s="448">
        <f>D216-C216</f>
        <v>10672139</v>
      </c>
      <c r="F216" s="449">
        <f>IF(C216=0,0,E216/C216)</f>
        <v>0.12814074617574736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3124142</v>
      </c>
      <c r="D221" s="448">
        <v>2360285</v>
      </c>
      <c r="E221" s="448">
        <f t="shared" ref="E221:E230" si="24">D221-C221</f>
        <v>-763857</v>
      </c>
      <c r="F221" s="449">
        <f t="shared" ref="F221:F230" si="25">IF(C221=0,0,E221/C221)</f>
        <v>-0.24450137029622854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1364747</v>
      </c>
      <c r="D222" s="448">
        <v>914334</v>
      </c>
      <c r="E222" s="448">
        <f t="shared" si="24"/>
        <v>-450413</v>
      </c>
      <c r="F222" s="449">
        <f t="shared" si="25"/>
        <v>-0.33003406492192328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0.43683897850993969</v>
      </c>
      <c r="D223" s="453">
        <f>IF(LN_IG1=0,0,LN_IG2/LN_IG1)</f>
        <v>0.38738287960987761</v>
      </c>
      <c r="E223" s="454">
        <f t="shared" si="24"/>
        <v>-4.9456098900062084E-2</v>
      </c>
      <c r="F223" s="449">
        <f t="shared" si="25"/>
        <v>-0.11321356685879343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220</v>
      </c>
      <c r="D224" s="456">
        <v>189</v>
      </c>
      <c r="E224" s="456">
        <f t="shared" si="24"/>
        <v>-31</v>
      </c>
      <c r="F224" s="449">
        <f t="shared" si="25"/>
        <v>-0.1409090909090909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0.94120000000000004</v>
      </c>
      <c r="D225" s="459">
        <v>0.7319</v>
      </c>
      <c r="E225" s="460">
        <f t="shared" si="24"/>
        <v>-0.20930000000000004</v>
      </c>
      <c r="F225" s="449">
        <f t="shared" si="25"/>
        <v>-0.22237569060773485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207.06400000000002</v>
      </c>
      <c r="D226" s="463">
        <f>LN_IG3*LN_IG4</f>
        <v>138.32910000000001</v>
      </c>
      <c r="E226" s="463">
        <f t="shared" si="24"/>
        <v>-68.73490000000001</v>
      </c>
      <c r="F226" s="449">
        <f t="shared" si="25"/>
        <v>-0.33195002511300853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6590.942896882123</v>
      </c>
      <c r="D227" s="465">
        <f>IF(LN_IG5=0,0,LN_IG2/LN_IG5)</f>
        <v>6609.8456506982257</v>
      </c>
      <c r="E227" s="465">
        <f t="shared" si="24"/>
        <v>18.902753816102631</v>
      </c>
      <c r="F227" s="449">
        <f t="shared" si="25"/>
        <v>2.8679893168312336E-3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636</v>
      </c>
      <c r="D228" s="456">
        <v>494</v>
      </c>
      <c r="E228" s="456">
        <f t="shared" si="24"/>
        <v>-142</v>
      </c>
      <c r="F228" s="449">
        <f t="shared" si="25"/>
        <v>-0.22327044025157233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2145.8286163522012</v>
      </c>
      <c r="D229" s="465">
        <f>IF(LN_IG6=0,0,LN_IG2/LN_IG6)</f>
        <v>1850.8785425101214</v>
      </c>
      <c r="E229" s="465">
        <f t="shared" si="24"/>
        <v>-294.95007384207975</v>
      </c>
      <c r="F229" s="449">
        <f t="shared" si="25"/>
        <v>-0.13745276374563398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2.8909090909090911</v>
      </c>
      <c r="D230" s="466">
        <f>IF(LN_IG3=0,0,LN_IG6/LN_IG3)</f>
        <v>2.6137566137566139</v>
      </c>
      <c r="E230" s="466">
        <f t="shared" si="24"/>
        <v>-0.27715247715247715</v>
      </c>
      <c r="F230" s="449">
        <f t="shared" si="25"/>
        <v>-9.5870353731988947E-2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7191710</v>
      </c>
      <c r="D233" s="448">
        <v>7118154</v>
      </c>
      <c r="E233" s="448">
        <f>D233-C233</f>
        <v>-73556</v>
      </c>
      <c r="F233" s="449">
        <f>IF(C233=0,0,E233/C233)</f>
        <v>-1.0227887387005316E-2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1957670</v>
      </c>
      <c r="D234" s="448">
        <v>1776013</v>
      </c>
      <c r="E234" s="448">
        <f>D234-C234</f>
        <v>-181657</v>
      </c>
      <c r="F234" s="449">
        <f>IF(C234=0,0,E234/C234)</f>
        <v>-9.2792452251911711E-2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10315852</v>
      </c>
      <c r="D237" s="448">
        <f>LN_IG1+LN_IG9</f>
        <v>9478439</v>
      </c>
      <c r="E237" s="448">
        <f>D237-C237</f>
        <v>-837413</v>
      </c>
      <c r="F237" s="449">
        <f>IF(C237=0,0,E237/C237)</f>
        <v>-8.1177298782495133E-2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3322417</v>
      </c>
      <c r="D238" s="448">
        <f>LN_IG2+LN_IG10</f>
        <v>2690347</v>
      </c>
      <c r="E238" s="448">
        <f>D238-C238</f>
        <v>-632070</v>
      </c>
      <c r="F238" s="449">
        <f>IF(C238=0,0,E238/C238)</f>
        <v>-0.19024403017441821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6993435</v>
      </c>
      <c r="D239" s="448">
        <f>LN_IG13-LN_IG14</f>
        <v>6788092</v>
      </c>
      <c r="E239" s="448">
        <f>D239-C239</f>
        <v>-205343</v>
      </c>
      <c r="F239" s="449">
        <f>IF(C239=0,0,E239/C239)</f>
        <v>-2.9362251883373477E-2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7456692</v>
      </c>
      <c r="D243" s="448">
        <v>7202302</v>
      </c>
      <c r="E243" s="441">
        <f>D243-C243</f>
        <v>-254390</v>
      </c>
      <c r="F243" s="503">
        <f>IF(C243=0,0,E243/C243)</f>
        <v>-3.4115664157779349E-2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264111731</v>
      </c>
      <c r="D244" s="448">
        <v>249935251</v>
      </c>
      <c r="E244" s="441">
        <f>D244-C244</f>
        <v>-14176480</v>
      </c>
      <c r="F244" s="503">
        <f>IF(C244=0,0,E244/C244)</f>
        <v>-5.3676070905006486E-2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5341790</v>
      </c>
      <c r="D248" s="441">
        <v>5518573</v>
      </c>
      <c r="E248" s="441">
        <f>D248-C248</f>
        <v>176783</v>
      </c>
      <c r="F248" s="449">
        <f>IF(C248=0,0,E248/C248)</f>
        <v>3.3094337291432276E-2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8089246</v>
      </c>
      <c r="D249" s="441">
        <v>8822403</v>
      </c>
      <c r="E249" s="441">
        <f>D249-C249</f>
        <v>733157</v>
      </c>
      <c r="F249" s="449">
        <f>IF(C249=0,0,E249/C249)</f>
        <v>9.0633539887401124E-2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13431036</v>
      </c>
      <c r="D250" s="441">
        <f>LN_IH4+LN_IH5</f>
        <v>14340976</v>
      </c>
      <c r="E250" s="441">
        <f>D250-C250</f>
        <v>909940</v>
      </c>
      <c r="F250" s="449">
        <f>IF(C250=0,0,E250/C250)</f>
        <v>6.7749055247860249E-2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6050485.9974734029</v>
      </c>
      <c r="D251" s="441">
        <f>LN_IH6*LN_III10</f>
        <v>6061196.6998750819</v>
      </c>
      <c r="E251" s="441">
        <f>D251-C251</f>
        <v>10710.702401679009</v>
      </c>
      <c r="F251" s="449">
        <f>IF(C251=0,0,E251/C251)</f>
        <v>1.7702218311308623E-3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109982431</v>
      </c>
      <c r="D254" s="441">
        <f>LN_IF23</f>
        <v>126012740</v>
      </c>
      <c r="E254" s="441">
        <f>D254-C254</f>
        <v>16030309</v>
      </c>
      <c r="F254" s="449">
        <f>IF(C254=0,0,E254/C254)</f>
        <v>0.14575336128003935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26697923</v>
      </c>
      <c r="D255" s="441">
        <f>LN_IF24</f>
        <v>32056093</v>
      </c>
      <c r="E255" s="441">
        <f>D255-C255</f>
        <v>5358170</v>
      </c>
      <c r="F255" s="449">
        <f>IF(C255=0,0,E255/C255)</f>
        <v>0.20069613654964846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49545482.473100714</v>
      </c>
      <c r="D256" s="441">
        <f>LN_IH8*LN_III10</f>
        <v>53259136.883725122</v>
      </c>
      <c r="E256" s="441">
        <f>D256-C256</f>
        <v>3713654.4106244072</v>
      </c>
      <c r="F256" s="449">
        <f>IF(C256=0,0,E256/C256)</f>
        <v>7.4954450441382395E-2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22847559.473100714</v>
      </c>
      <c r="D257" s="441">
        <f>LN_IH10-LN_IH9</f>
        <v>21203043.883725122</v>
      </c>
      <c r="E257" s="441">
        <f>D257-C257</f>
        <v>-1644515.5893755928</v>
      </c>
      <c r="F257" s="449">
        <f>IF(C257=0,0,E257/C257)</f>
        <v>-7.1977735359951348E-2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237352780</v>
      </c>
      <c r="D261" s="448">
        <f>LN_IA1+LN_IB1+LN_IF1+LN_IG1</f>
        <v>243577407</v>
      </c>
      <c r="E261" s="448">
        <f t="shared" ref="E261:E274" si="26">D261-C261</f>
        <v>6224627</v>
      </c>
      <c r="F261" s="503">
        <f t="shared" ref="F261:F274" si="27">IF(C261=0,0,E261/C261)</f>
        <v>2.6225212108322474E-2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130458162</v>
      </c>
      <c r="D262" s="448">
        <f>+LN_IA2+LN_IB2+LN_IF2+LN_IG2</f>
        <v>118951326</v>
      </c>
      <c r="E262" s="448">
        <f t="shared" si="26"/>
        <v>-11506836</v>
      </c>
      <c r="F262" s="503">
        <f t="shared" si="27"/>
        <v>-8.8203266270147213E-2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0.54963823048544025</v>
      </c>
      <c r="D263" s="453">
        <f>IF(LN_IIA1=0,0,LN_IIA2/LN_IIA1)</f>
        <v>0.48835122873280279</v>
      </c>
      <c r="E263" s="454">
        <f t="shared" si="26"/>
        <v>-6.128700175263746E-2</v>
      </c>
      <c r="F263" s="458">
        <f t="shared" si="27"/>
        <v>-0.11150425562375603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11911</v>
      </c>
      <c r="D264" s="456">
        <f>LN_IA4+LN_IB4+LN_IF4+LN_IG3</f>
        <v>11396</v>
      </c>
      <c r="E264" s="456">
        <f t="shared" si="26"/>
        <v>-515</v>
      </c>
      <c r="F264" s="503">
        <f t="shared" si="27"/>
        <v>-4.3237343631936868E-2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1.2504638653345648</v>
      </c>
      <c r="D265" s="525">
        <f>IF(LN_IIA4=0,0,LN_IIA6/LN_IIA4)</f>
        <v>1.2815816075816078</v>
      </c>
      <c r="E265" s="525">
        <f t="shared" si="26"/>
        <v>3.1117742247043001E-2</v>
      </c>
      <c r="F265" s="503">
        <f t="shared" si="27"/>
        <v>2.4884959181701239E-2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14894.275100000001</v>
      </c>
      <c r="D266" s="463">
        <f>LN_IA6+LN_IB6+LN_IF6+LN_IG5</f>
        <v>14604.904000000002</v>
      </c>
      <c r="E266" s="463">
        <f t="shared" si="26"/>
        <v>-289.37109999999848</v>
      </c>
      <c r="F266" s="503">
        <f t="shared" si="27"/>
        <v>-1.942834398164154E-2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378171683</v>
      </c>
      <c r="D267" s="448">
        <f>LN_IA11+LN_IB13+LN_IF14+LN_IG9</f>
        <v>406849933</v>
      </c>
      <c r="E267" s="448">
        <f t="shared" si="26"/>
        <v>28678250</v>
      </c>
      <c r="F267" s="503">
        <f t="shared" si="27"/>
        <v>7.5833943389145828E-2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1.5932894613663258</v>
      </c>
      <c r="D268" s="453">
        <f>IF(LN_IIA1=0,0,LN_IIA7/LN_IIA1)</f>
        <v>1.6703106335309661</v>
      </c>
      <c r="E268" s="454">
        <f t="shared" si="26"/>
        <v>7.7021172164640328E-2</v>
      </c>
      <c r="F268" s="458">
        <f t="shared" si="27"/>
        <v>4.8340978856780237E-2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146826640</v>
      </c>
      <c r="D269" s="448">
        <f>LN_IA12+LN_IB14+LN_IF15+LN_IG10</f>
        <v>155951027</v>
      </c>
      <c r="E269" s="448">
        <f t="shared" si="26"/>
        <v>9124387</v>
      </c>
      <c r="F269" s="503">
        <f t="shared" si="27"/>
        <v>6.2143947447139018E-2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0.38825392434261136</v>
      </c>
      <c r="D270" s="453">
        <f>IF(LN_IIA7=0,0,LN_IIA9/LN_IIA7)</f>
        <v>0.38331338990290553</v>
      </c>
      <c r="E270" s="454">
        <f t="shared" si="26"/>
        <v>-4.9405344397058237E-3</v>
      </c>
      <c r="F270" s="458">
        <f t="shared" si="27"/>
        <v>-1.2725008377110675E-2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615524463</v>
      </c>
      <c r="D271" s="441">
        <f>LN_IIA1+LN_IIA7</f>
        <v>650427340</v>
      </c>
      <c r="E271" s="441">
        <f t="shared" si="26"/>
        <v>34902877</v>
      </c>
      <c r="F271" s="503">
        <f t="shared" si="27"/>
        <v>5.6704288940665551E-2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277284802</v>
      </c>
      <c r="D272" s="441">
        <f>LN_IIA2+LN_IIA9</f>
        <v>274902353</v>
      </c>
      <c r="E272" s="441">
        <f t="shared" si="26"/>
        <v>-2382449</v>
      </c>
      <c r="F272" s="503">
        <f t="shared" si="27"/>
        <v>-8.5920648474632228E-3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0.45048542936627362</v>
      </c>
      <c r="D273" s="453">
        <f>IF(LN_IIA11=0,0,LN_IIA12/LN_IIA11)</f>
        <v>0.42264882807663035</v>
      </c>
      <c r="E273" s="454">
        <f t="shared" si="26"/>
        <v>-2.783660128964327E-2</v>
      </c>
      <c r="F273" s="458">
        <f t="shared" si="27"/>
        <v>-6.179245648145109E-2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49361</v>
      </c>
      <c r="D274" s="508">
        <f>LN_IA8+LN_IB10+LN_IF11+LN_IG6</f>
        <v>48465</v>
      </c>
      <c r="E274" s="528">
        <f t="shared" si="26"/>
        <v>-896</v>
      </c>
      <c r="F274" s="458">
        <f t="shared" si="27"/>
        <v>-1.815198233423148E-2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166373690</v>
      </c>
      <c r="D277" s="448">
        <f>LN_IA1+LN_IF1+LN_IG1</f>
        <v>173608053</v>
      </c>
      <c r="E277" s="448">
        <f t="shared" ref="E277:E291" si="28">D277-C277</f>
        <v>7234363</v>
      </c>
      <c r="F277" s="503">
        <f t="shared" ref="F277:F291" si="29">IF(C277=0,0,E277/C277)</f>
        <v>4.3482614348458584E-2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74103379</v>
      </c>
      <c r="D278" s="448">
        <f>LN_IA2+LN_IF2+LN_IG2</f>
        <v>67268928</v>
      </c>
      <c r="E278" s="448">
        <f t="shared" si="28"/>
        <v>-6834451</v>
      </c>
      <c r="F278" s="503">
        <f t="shared" si="29"/>
        <v>-9.2228601343536581E-2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0.44540323052280684</v>
      </c>
      <c r="D279" s="453">
        <f>IF(D277=0,0,LN_IIB2/D277)</f>
        <v>0.38747585055861433</v>
      </c>
      <c r="E279" s="454">
        <f t="shared" si="28"/>
        <v>-5.7927379964192505E-2</v>
      </c>
      <c r="F279" s="458">
        <f t="shared" si="29"/>
        <v>-0.13005603910011682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8075</v>
      </c>
      <c r="D280" s="456">
        <f>LN_IA4+LN_IF4+LN_IG3</f>
        <v>7842</v>
      </c>
      <c r="E280" s="456">
        <f t="shared" si="28"/>
        <v>-233</v>
      </c>
      <c r="F280" s="503">
        <f t="shared" si="29"/>
        <v>-2.8854489164086686E-2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1.2492590835913313</v>
      </c>
      <c r="D281" s="525">
        <f>IF(LN_IIB4=0,0,LN_IIB6/LN_IIB4)</f>
        <v>1.2943988523335885</v>
      </c>
      <c r="E281" s="525">
        <f t="shared" si="28"/>
        <v>4.5139768742257225E-2</v>
      </c>
      <c r="F281" s="503">
        <f t="shared" si="29"/>
        <v>3.6133232357607369E-2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10087.767100000001</v>
      </c>
      <c r="D282" s="463">
        <f>LN_IA6+LN_IF6+LN_IG5</f>
        <v>10150.675800000001</v>
      </c>
      <c r="E282" s="463">
        <f t="shared" si="28"/>
        <v>62.908699999999953</v>
      </c>
      <c r="F282" s="503">
        <f t="shared" si="29"/>
        <v>6.2361372319945756E-3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200368749</v>
      </c>
      <c r="D283" s="448">
        <f>LN_IA11+LN_IF14+LN_IG9</f>
        <v>224914104</v>
      </c>
      <c r="E283" s="448">
        <f t="shared" si="28"/>
        <v>24545355</v>
      </c>
      <c r="F283" s="503">
        <f t="shared" si="29"/>
        <v>0.12250091455130062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1.2043295367194176</v>
      </c>
      <c r="D284" s="453">
        <f>IF(D277=0,0,LN_IIB7/D277)</f>
        <v>1.2955280594040186</v>
      </c>
      <c r="E284" s="454">
        <f t="shared" si="28"/>
        <v>9.1198522684601047E-2</v>
      </c>
      <c r="F284" s="458">
        <f t="shared" si="29"/>
        <v>7.5725555094351485E-2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47774661</v>
      </c>
      <c r="D285" s="448">
        <f>LN_IA12+LN_IF15+LN_IG10</f>
        <v>53497471</v>
      </c>
      <c r="E285" s="448">
        <f t="shared" si="28"/>
        <v>5722810</v>
      </c>
      <c r="F285" s="503">
        <f t="shared" si="29"/>
        <v>0.11978755851349736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0.23843369406872925</v>
      </c>
      <c r="D286" s="453">
        <f>IF(LN_IIB7=0,0,LN_IIB9/LN_IIB7)</f>
        <v>0.23785734219673479</v>
      </c>
      <c r="E286" s="454">
        <f t="shared" si="28"/>
        <v>-5.7635187199445159E-4</v>
      </c>
      <c r="F286" s="458">
        <f t="shared" si="29"/>
        <v>-2.4172417168033156E-3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366742439</v>
      </c>
      <c r="D287" s="441">
        <f>D277+LN_IIB7</f>
        <v>398522157</v>
      </c>
      <c r="E287" s="441">
        <f t="shared" si="28"/>
        <v>31779718</v>
      </c>
      <c r="F287" s="503">
        <f t="shared" si="29"/>
        <v>8.6654050964633522E-2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121878040</v>
      </c>
      <c r="D288" s="441">
        <f>LN_IIB2+LN_IIB9</f>
        <v>120766399</v>
      </c>
      <c r="E288" s="441">
        <f t="shared" si="28"/>
        <v>-1111641</v>
      </c>
      <c r="F288" s="503">
        <f t="shared" si="29"/>
        <v>-9.1209294143555306E-3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0.33232597877771108</v>
      </c>
      <c r="D289" s="453">
        <f>IF(LN_IIB11=0,0,LN_IIB12/LN_IIB11)</f>
        <v>0.30303559508235822</v>
      </c>
      <c r="E289" s="454">
        <f t="shared" si="28"/>
        <v>-2.9290383695352862E-2</v>
      </c>
      <c r="F289" s="458">
        <f t="shared" si="29"/>
        <v>-8.8137508247421281E-2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36639</v>
      </c>
      <c r="D290" s="508">
        <f>LN_IA8+LN_IF11+LN_IG6</f>
        <v>36516</v>
      </c>
      <c r="E290" s="528">
        <f t="shared" si="28"/>
        <v>-123</v>
      </c>
      <c r="F290" s="458">
        <f t="shared" si="29"/>
        <v>-3.3570785228854501E-3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244864399</v>
      </c>
      <c r="D291" s="516">
        <f>LN_IIB11-LN_IIB12</f>
        <v>277755758</v>
      </c>
      <c r="E291" s="441">
        <f t="shared" si="28"/>
        <v>32891359</v>
      </c>
      <c r="F291" s="503">
        <f t="shared" si="29"/>
        <v>0.1343247901055637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4.8870733478576618</v>
      </c>
      <c r="D294" s="466">
        <f>IF(LN_IA4=0,0,LN_IA8/LN_IA4)</f>
        <v>5.0953470633104496</v>
      </c>
      <c r="E294" s="466">
        <f t="shared" ref="E294:E300" si="30">D294-C294</f>
        <v>0.20827371545278783</v>
      </c>
      <c r="F294" s="503">
        <f t="shared" ref="F294:F300" si="31">IF(C294=0,0,E294/C294)</f>
        <v>4.2617268174231199E-2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3.3164754953076119</v>
      </c>
      <c r="D295" s="466">
        <f>IF(LN_IB4=0,0,(LN_IB10)/(LN_IB4))</f>
        <v>3.3621271806415307</v>
      </c>
      <c r="E295" s="466">
        <f t="shared" si="30"/>
        <v>4.5651685333918834E-2</v>
      </c>
      <c r="F295" s="503">
        <f t="shared" si="31"/>
        <v>1.3765120652484881E-2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4.7983870967741939</v>
      </c>
      <c r="D296" s="466">
        <f>IF(LN_IC4=0,0,LN_IC11/LN_IC4)</f>
        <v>3.7575757575757578</v>
      </c>
      <c r="E296" s="466">
        <f t="shared" si="30"/>
        <v>-1.0408113391984362</v>
      </c>
      <c r="F296" s="503">
        <f t="shared" si="31"/>
        <v>-0.216908581614464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3.8547681539807526</v>
      </c>
      <c r="D297" s="466">
        <f>IF(LN_ID4=0,0,LN_ID11/LN_ID4)</f>
        <v>3.8709953011533531</v>
      </c>
      <c r="E297" s="466">
        <f t="shared" si="30"/>
        <v>1.6227147172600542E-2</v>
      </c>
      <c r="F297" s="503">
        <f t="shared" si="31"/>
        <v>4.2096298725107627E-3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4.4754098360655741</v>
      </c>
      <c r="D298" s="466">
        <f>IF(LN_IE4=0,0,LN_IE11/LN_IE4)</f>
        <v>3.5294117647058822</v>
      </c>
      <c r="E298" s="466">
        <f t="shared" si="30"/>
        <v>-0.94599807135969183</v>
      </c>
      <c r="F298" s="503">
        <f t="shared" si="31"/>
        <v>-0.21137685843568205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2.8909090909090911</v>
      </c>
      <c r="D299" s="466">
        <f>IF(LN_IG3=0,0,LN_IG6/LN_IG3)</f>
        <v>2.6137566137566139</v>
      </c>
      <c r="E299" s="466">
        <f t="shared" si="30"/>
        <v>-0.27715247715247715</v>
      </c>
      <c r="F299" s="503">
        <f t="shared" si="31"/>
        <v>-9.5870353731988947E-2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4.1441524641088066</v>
      </c>
      <c r="D300" s="466">
        <f>IF(LN_IIA4=0,0,LN_IIA14/LN_IIA4)</f>
        <v>4.2528080028080026</v>
      </c>
      <c r="E300" s="466">
        <f t="shared" si="30"/>
        <v>0.10865553869919609</v>
      </c>
      <c r="F300" s="503">
        <f t="shared" si="31"/>
        <v>2.6219001265090348E-2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615524463</v>
      </c>
      <c r="D304" s="441">
        <f>LN_IIA11</f>
        <v>650427340</v>
      </c>
      <c r="E304" s="441">
        <f t="shared" ref="E304:E316" si="32">D304-C304</f>
        <v>34902877</v>
      </c>
      <c r="F304" s="449">
        <f>IF(C304=0,0,E304/C304)</f>
        <v>5.6704288940665551E-2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244864399</v>
      </c>
      <c r="D305" s="441">
        <f>LN_IIB14</f>
        <v>277755758</v>
      </c>
      <c r="E305" s="441">
        <f t="shared" si="32"/>
        <v>32891359</v>
      </c>
      <c r="F305" s="449">
        <f>IF(C305=0,0,E305/C305)</f>
        <v>0.1343247901055637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13431036</v>
      </c>
      <c r="D306" s="441">
        <f>LN_IH6</f>
        <v>14340976</v>
      </c>
      <c r="E306" s="441">
        <f t="shared" si="32"/>
        <v>909940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73534115</v>
      </c>
      <c r="D307" s="441">
        <f>LN_IB32-LN_IB33</f>
        <v>76725360</v>
      </c>
      <c r="E307" s="441">
        <f t="shared" si="32"/>
        <v>3191245</v>
      </c>
      <c r="F307" s="449">
        <f t="shared" ref="F307:F316" si="33">IF(C307=0,0,E307/C307)</f>
        <v>4.3398156080344474E-2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6410112</v>
      </c>
      <c r="D308" s="441">
        <v>6702893</v>
      </c>
      <c r="E308" s="441">
        <f t="shared" si="32"/>
        <v>292781</v>
      </c>
      <c r="F308" s="449">
        <f t="shared" si="33"/>
        <v>4.5674864963357896E-2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338239662</v>
      </c>
      <c r="D309" s="441">
        <f>LN_III2+LN_III3+LN_III4+LN_III5</f>
        <v>375524987</v>
      </c>
      <c r="E309" s="441">
        <f t="shared" si="32"/>
        <v>37285325</v>
      </c>
      <c r="F309" s="449">
        <f t="shared" si="33"/>
        <v>0.11023345038702173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277284801</v>
      </c>
      <c r="D310" s="441">
        <f>LN_III1-LN_III6</f>
        <v>274902353</v>
      </c>
      <c r="E310" s="441">
        <f t="shared" si="32"/>
        <v>-2382448</v>
      </c>
      <c r="F310" s="449">
        <f t="shared" si="33"/>
        <v>-8.59206127204931E-3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277284801</v>
      </c>
      <c r="D312" s="441">
        <f>LN_III7+LN_III8</f>
        <v>274902353</v>
      </c>
      <c r="E312" s="441">
        <f t="shared" si="32"/>
        <v>-2382448</v>
      </c>
      <c r="F312" s="449">
        <f t="shared" si="33"/>
        <v>-8.59206127204931E-3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0.4504854277416428</v>
      </c>
      <c r="D313" s="532">
        <f>IF(LN_III1=0,0,LN_III9/LN_III1)</f>
        <v>0.42264882807663035</v>
      </c>
      <c r="E313" s="532">
        <f t="shared" si="32"/>
        <v>-2.7836599665012451E-2</v>
      </c>
      <c r="F313" s="449">
        <f t="shared" si="33"/>
        <v>-6.1792453097899047E-2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6050485.9974734029</v>
      </c>
      <c r="D314" s="441">
        <f>D313*LN_III5</f>
        <v>6061196.6998750819</v>
      </c>
      <c r="E314" s="441">
        <f t="shared" si="32"/>
        <v>10710.702401679009</v>
      </c>
      <c r="F314" s="449">
        <f t="shared" si="33"/>
        <v>1.7702218311308623E-3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22847559.473100714</v>
      </c>
      <c r="D315" s="441">
        <f>D313*LN_IH8-LN_IH9</f>
        <v>21203043.883725122</v>
      </c>
      <c r="E315" s="441">
        <f t="shared" si="32"/>
        <v>-1644515.5893755928</v>
      </c>
      <c r="F315" s="449">
        <f t="shared" si="33"/>
        <v>-7.1977735359951348E-2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28898045.470574118</v>
      </c>
      <c r="D318" s="441">
        <f>D314+D315+D316</f>
        <v>27264240.583600204</v>
      </c>
      <c r="E318" s="441">
        <f>D318-C318</f>
        <v>-1633804.8869739138</v>
      </c>
      <c r="F318" s="449">
        <f>IF(C318=0,0,E318/C318)</f>
        <v>-5.6536864703793231E-2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8623146.2433007173</v>
      </c>
      <c r="D322" s="441">
        <f>LN_ID22</f>
        <v>10689889.975904956</v>
      </c>
      <c r="E322" s="441">
        <f>LN_IV2-C322</f>
        <v>2066743.7326042391</v>
      </c>
      <c r="F322" s="449">
        <f>IF(C322=0,0,E322/C322)</f>
        <v>0.23967397447421038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204962.09453986934</v>
      </c>
      <c r="D323" s="441">
        <f>LN_IE10+LN_IE22</f>
        <v>421878.64546921384</v>
      </c>
      <c r="E323" s="441">
        <f>LN_IV3-C323</f>
        <v>216916.55092934449</v>
      </c>
      <c r="F323" s="449">
        <f>IF(C323=0,0,E323/C323)</f>
        <v>1.0583252060158361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1149980.4394451212</v>
      </c>
      <c r="D324" s="441">
        <f>LN_IC10+LN_IC22</f>
        <v>1570252.7549632548</v>
      </c>
      <c r="E324" s="441">
        <f>LN_IV1-C324</f>
        <v>420272.31551813358</v>
      </c>
      <c r="F324" s="449">
        <f>IF(C324=0,0,E324/C324)</f>
        <v>0.3654604035881861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9978088.7772857081</v>
      </c>
      <c r="D325" s="516">
        <f>LN_IV1+LN_IV2+LN_IV3</f>
        <v>12682021.376337424</v>
      </c>
      <c r="E325" s="441">
        <f>LN_IV4-C325</f>
        <v>2703932.5990517158</v>
      </c>
      <c r="F325" s="449">
        <f>IF(C325=0,0,E325/C325)</f>
        <v>0.27098702561225896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10979391</v>
      </c>
      <c r="D329" s="518">
        <v>10885970</v>
      </c>
      <c r="E329" s="518">
        <f t="shared" ref="E329:E335" si="34">D329-C329</f>
        <v>-93421</v>
      </c>
      <c r="F329" s="542">
        <f t="shared" ref="F329:F335" si="35">IF(C329=0,0,E329/C329)</f>
        <v>-8.5087597299340189E-3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5934953</v>
      </c>
      <c r="D330" s="516">
        <v>-6893526</v>
      </c>
      <c r="E330" s="518">
        <f t="shared" si="34"/>
        <v>-12828479</v>
      </c>
      <c r="F330" s="543">
        <f t="shared" si="35"/>
        <v>-2.1615131577284603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283219755</v>
      </c>
      <c r="D331" s="516">
        <v>268008827</v>
      </c>
      <c r="E331" s="518">
        <f t="shared" si="34"/>
        <v>-15210928</v>
      </c>
      <c r="F331" s="542">
        <f t="shared" si="35"/>
        <v>-5.3707157539204846E-2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615524464</v>
      </c>
      <c r="D333" s="516">
        <v>650427340</v>
      </c>
      <c r="E333" s="518">
        <f t="shared" si="34"/>
        <v>34902876</v>
      </c>
      <c r="F333" s="542">
        <f t="shared" si="35"/>
        <v>5.6704287223911215E-2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71577</v>
      </c>
      <c r="D334" s="516">
        <v>174038</v>
      </c>
      <c r="E334" s="516">
        <f t="shared" si="34"/>
        <v>102461</v>
      </c>
      <c r="F334" s="543">
        <f t="shared" si="35"/>
        <v>1.4314793858362322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13502614</v>
      </c>
      <c r="D335" s="516">
        <v>14515014</v>
      </c>
      <c r="E335" s="516">
        <f t="shared" si="34"/>
        <v>1012400</v>
      </c>
      <c r="F335" s="542">
        <f t="shared" si="35"/>
        <v>7.4978074615774395E-2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70979090</v>
      </c>
      <c r="D14" s="589">
        <v>69969354</v>
      </c>
      <c r="E14" s="590">
        <f t="shared" ref="E14:E22" si="0">D14-C14</f>
        <v>-1009736</v>
      </c>
    </row>
    <row r="15" spans="1:5" s="421" customFormat="1" x14ac:dyDescent="0.2">
      <c r="A15" s="588">
        <v>2</v>
      </c>
      <c r="B15" s="587" t="s">
        <v>636</v>
      </c>
      <c r="C15" s="589">
        <v>125132685</v>
      </c>
      <c r="D15" s="591">
        <v>131136626</v>
      </c>
      <c r="E15" s="590">
        <f t="shared" si="0"/>
        <v>6003941</v>
      </c>
    </row>
    <row r="16" spans="1:5" s="421" customFormat="1" x14ac:dyDescent="0.2">
      <c r="A16" s="588">
        <v>3</v>
      </c>
      <c r="B16" s="587" t="s">
        <v>778</v>
      </c>
      <c r="C16" s="589">
        <v>38116863</v>
      </c>
      <c r="D16" s="591">
        <v>40111142</v>
      </c>
      <c r="E16" s="590">
        <f t="shared" si="0"/>
        <v>1994279</v>
      </c>
    </row>
    <row r="17" spans="1:5" s="421" customFormat="1" x14ac:dyDescent="0.2">
      <c r="A17" s="588">
        <v>4</v>
      </c>
      <c r="B17" s="587" t="s">
        <v>115</v>
      </c>
      <c r="C17" s="589">
        <v>36860359</v>
      </c>
      <c r="D17" s="591">
        <v>39100309</v>
      </c>
      <c r="E17" s="590">
        <f t="shared" si="0"/>
        <v>2239950</v>
      </c>
    </row>
    <row r="18" spans="1:5" s="421" customFormat="1" x14ac:dyDescent="0.2">
      <c r="A18" s="588">
        <v>5</v>
      </c>
      <c r="B18" s="587" t="s">
        <v>744</v>
      </c>
      <c r="C18" s="589">
        <v>1256504</v>
      </c>
      <c r="D18" s="591">
        <v>1010833</v>
      </c>
      <c r="E18" s="590">
        <f t="shared" si="0"/>
        <v>-245671</v>
      </c>
    </row>
    <row r="19" spans="1:5" s="421" customFormat="1" x14ac:dyDescent="0.2">
      <c r="A19" s="588">
        <v>6</v>
      </c>
      <c r="B19" s="587" t="s">
        <v>424</v>
      </c>
      <c r="C19" s="589">
        <v>3124142</v>
      </c>
      <c r="D19" s="591">
        <v>2360285</v>
      </c>
      <c r="E19" s="590">
        <f t="shared" si="0"/>
        <v>-763857</v>
      </c>
    </row>
    <row r="20" spans="1:5" s="421" customFormat="1" x14ac:dyDescent="0.2">
      <c r="A20" s="588">
        <v>7</v>
      </c>
      <c r="B20" s="587" t="s">
        <v>759</v>
      </c>
      <c r="C20" s="589">
        <v>2711434</v>
      </c>
      <c r="D20" s="591">
        <v>3027720</v>
      </c>
      <c r="E20" s="590">
        <f t="shared" si="0"/>
        <v>316286</v>
      </c>
    </row>
    <row r="21" spans="1:5" s="421" customFormat="1" x14ac:dyDescent="0.2">
      <c r="A21" s="588"/>
      <c r="B21" s="592" t="s">
        <v>779</v>
      </c>
      <c r="C21" s="593">
        <f>SUM(C15+C16+C19)</f>
        <v>166373690</v>
      </c>
      <c r="D21" s="593">
        <f>SUM(D15+D16+D19)</f>
        <v>173608053</v>
      </c>
      <c r="E21" s="593">
        <f t="shared" si="0"/>
        <v>7234363</v>
      </c>
    </row>
    <row r="22" spans="1:5" s="421" customFormat="1" x14ac:dyDescent="0.2">
      <c r="A22" s="588"/>
      <c r="B22" s="592" t="s">
        <v>465</v>
      </c>
      <c r="C22" s="593">
        <f>SUM(C14+C21)</f>
        <v>237352780</v>
      </c>
      <c r="D22" s="593">
        <f>SUM(D14+D21)</f>
        <v>243577407</v>
      </c>
      <c r="E22" s="593">
        <f t="shared" si="0"/>
        <v>6224627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177802934</v>
      </c>
      <c r="D25" s="589">
        <v>181935829</v>
      </c>
      <c r="E25" s="590">
        <f t="shared" ref="E25:E33" si="1">D25-C25</f>
        <v>4132895</v>
      </c>
    </row>
    <row r="26" spans="1:5" s="421" customFormat="1" x14ac:dyDescent="0.2">
      <c r="A26" s="588">
        <v>2</v>
      </c>
      <c r="B26" s="587" t="s">
        <v>636</v>
      </c>
      <c r="C26" s="589">
        <v>121311471</v>
      </c>
      <c r="D26" s="591">
        <v>131894352</v>
      </c>
      <c r="E26" s="590">
        <f t="shared" si="1"/>
        <v>10582881</v>
      </c>
    </row>
    <row r="27" spans="1:5" s="421" customFormat="1" x14ac:dyDescent="0.2">
      <c r="A27" s="588">
        <v>3</v>
      </c>
      <c r="B27" s="587" t="s">
        <v>778</v>
      </c>
      <c r="C27" s="589">
        <v>71865568</v>
      </c>
      <c r="D27" s="591">
        <v>85901598</v>
      </c>
      <c r="E27" s="590">
        <f t="shared" si="1"/>
        <v>14036030</v>
      </c>
    </row>
    <row r="28" spans="1:5" s="421" customFormat="1" x14ac:dyDescent="0.2">
      <c r="A28" s="588">
        <v>4</v>
      </c>
      <c r="B28" s="587" t="s">
        <v>115</v>
      </c>
      <c r="C28" s="589">
        <v>70686346</v>
      </c>
      <c r="D28" s="591">
        <v>83926391</v>
      </c>
      <c r="E28" s="590">
        <f t="shared" si="1"/>
        <v>13240045</v>
      </c>
    </row>
    <row r="29" spans="1:5" s="421" customFormat="1" x14ac:dyDescent="0.2">
      <c r="A29" s="588">
        <v>5</v>
      </c>
      <c r="B29" s="587" t="s">
        <v>744</v>
      </c>
      <c r="C29" s="589">
        <v>1179222</v>
      </c>
      <c r="D29" s="591">
        <v>1975207</v>
      </c>
      <c r="E29" s="590">
        <f t="shared" si="1"/>
        <v>795985</v>
      </c>
    </row>
    <row r="30" spans="1:5" s="421" customFormat="1" x14ac:dyDescent="0.2">
      <c r="A30" s="588">
        <v>6</v>
      </c>
      <c r="B30" s="587" t="s">
        <v>424</v>
      </c>
      <c r="C30" s="589">
        <v>7191710</v>
      </c>
      <c r="D30" s="591">
        <v>7118154</v>
      </c>
      <c r="E30" s="590">
        <f t="shared" si="1"/>
        <v>-73556</v>
      </c>
    </row>
    <row r="31" spans="1:5" s="421" customFormat="1" x14ac:dyDescent="0.2">
      <c r="A31" s="588">
        <v>7</v>
      </c>
      <c r="B31" s="587" t="s">
        <v>759</v>
      </c>
      <c r="C31" s="590">
        <v>10411627</v>
      </c>
      <c r="D31" s="594">
        <v>11449862</v>
      </c>
      <c r="E31" s="590">
        <f t="shared" si="1"/>
        <v>1038235</v>
      </c>
    </row>
    <row r="32" spans="1:5" s="421" customFormat="1" x14ac:dyDescent="0.2">
      <c r="A32" s="588"/>
      <c r="B32" s="592" t="s">
        <v>781</v>
      </c>
      <c r="C32" s="593">
        <f>SUM(C26+C27+C30)</f>
        <v>200368749</v>
      </c>
      <c r="D32" s="593">
        <f>SUM(D26+D27+D30)</f>
        <v>224914104</v>
      </c>
      <c r="E32" s="593">
        <f t="shared" si="1"/>
        <v>24545355</v>
      </c>
    </row>
    <row r="33" spans="1:5" s="421" customFormat="1" x14ac:dyDescent="0.2">
      <c r="A33" s="588"/>
      <c r="B33" s="592" t="s">
        <v>467</v>
      </c>
      <c r="C33" s="593">
        <f>SUM(C25+C32)</f>
        <v>378171683</v>
      </c>
      <c r="D33" s="593">
        <f>SUM(D25+D32)</f>
        <v>406849933</v>
      </c>
      <c r="E33" s="593">
        <f t="shared" si="1"/>
        <v>28678250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248782024</v>
      </c>
      <c r="D36" s="590">
        <f t="shared" si="2"/>
        <v>251905183</v>
      </c>
      <c r="E36" s="590">
        <f t="shared" ref="E36:E44" si="3">D36-C36</f>
        <v>3123159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246444156</v>
      </c>
      <c r="D37" s="590">
        <f t="shared" si="2"/>
        <v>263030978</v>
      </c>
      <c r="E37" s="590">
        <f t="shared" si="3"/>
        <v>16586822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109982431</v>
      </c>
      <c r="D38" s="590">
        <f t="shared" si="2"/>
        <v>126012740</v>
      </c>
      <c r="E38" s="590">
        <f t="shared" si="3"/>
        <v>16030309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107546705</v>
      </c>
      <c r="D39" s="590">
        <f t="shared" si="2"/>
        <v>123026700</v>
      </c>
      <c r="E39" s="590">
        <f t="shared" si="3"/>
        <v>15479995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2435726</v>
      </c>
      <c r="D40" s="590">
        <f t="shared" si="2"/>
        <v>2986040</v>
      </c>
      <c r="E40" s="590">
        <f t="shared" si="3"/>
        <v>550314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10315852</v>
      </c>
      <c r="D41" s="590">
        <f t="shared" si="2"/>
        <v>9478439</v>
      </c>
      <c r="E41" s="590">
        <f t="shared" si="3"/>
        <v>-837413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13123061</v>
      </c>
      <c r="D42" s="590">
        <f t="shared" si="2"/>
        <v>14477582</v>
      </c>
      <c r="E42" s="590">
        <f t="shared" si="3"/>
        <v>1354521</v>
      </c>
    </row>
    <row r="43" spans="1:5" s="421" customFormat="1" x14ac:dyDescent="0.2">
      <c r="A43" s="588"/>
      <c r="B43" s="592" t="s">
        <v>789</v>
      </c>
      <c r="C43" s="593">
        <f>SUM(C37+C38+C41)</f>
        <v>366742439</v>
      </c>
      <c r="D43" s="593">
        <f>SUM(D37+D38+D41)</f>
        <v>398522157</v>
      </c>
      <c r="E43" s="593">
        <f t="shared" si="3"/>
        <v>31779718</v>
      </c>
    </row>
    <row r="44" spans="1:5" s="421" customFormat="1" x14ac:dyDescent="0.2">
      <c r="A44" s="588"/>
      <c r="B44" s="592" t="s">
        <v>726</v>
      </c>
      <c r="C44" s="593">
        <f>SUM(C36+C43)</f>
        <v>615524463</v>
      </c>
      <c r="D44" s="593">
        <f>SUM(D36+D43)</f>
        <v>650427340</v>
      </c>
      <c r="E44" s="593">
        <f t="shared" si="3"/>
        <v>34902877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56354783</v>
      </c>
      <c r="D47" s="589">
        <v>51682398</v>
      </c>
      <c r="E47" s="590">
        <f t="shared" ref="E47:E55" si="4">D47-C47</f>
        <v>-4672385</v>
      </c>
    </row>
    <row r="48" spans="1:5" s="421" customFormat="1" x14ac:dyDescent="0.2">
      <c r="A48" s="588">
        <v>2</v>
      </c>
      <c r="B48" s="587" t="s">
        <v>636</v>
      </c>
      <c r="C48" s="589">
        <v>62107906</v>
      </c>
      <c r="D48" s="591">
        <v>54316391</v>
      </c>
      <c r="E48" s="590">
        <f t="shared" si="4"/>
        <v>-7791515</v>
      </c>
    </row>
    <row r="49" spans="1:5" s="421" customFormat="1" x14ac:dyDescent="0.2">
      <c r="A49" s="588">
        <v>3</v>
      </c>
      <c r="B49" s="587" t="s">
        <v>778</v>
      </c>
      <c r="C49" s="589">
        <v>10630726</v>
      </c>
      <c r="D49" s="591">
        <v>12038203</v>
      </c>
      <c r="E49" s="590">
        <f t="shared" si="4"/>
        <v>1407477</v>
      </c>
    </row>
    <row r="50" spans="1:5" s="421" customFormat="1" x14ac:dyDescent="0.2">
      <c r="A50" s="588">
        <v>4</v>
      </c>
      <c r="B50" s="587" t="s">
        <v>115</v>
      </c>
      <c r="C50" s="589">
        <v>10267905</v>
      </c>
      <c r="D50" s="591">
        <v>11717559</v>
      </c>
      <c r="E50" s="590">
        <f t="shared" si="4"/>
        <v>1449654</v>
      </c>
    </row>
    <row r="51" spans="1:5" s="421" customFormat="1" x14ac:dyDescent="0.2">
      <c r="A51" s="588">
        <v>5</v>
      </c>
      <c r="B51" s="587" t="s">
        <v>744</v>
      </c>
      <c r="C51" s="589">
        <v>362821</v>
      </c>
      <c r="D51" s="591">
        <v>320644</v>
      </c>
      <c r="E51" s="590">
        <f t="shared" si="4"/>
        <v>-42177</v>
      </c>
    </row>
    <row r="52" spans="1:5" s="421" customFormat="1" x14ac:dyDescent="0.2">
      <c r="A52" s="588">
        <v>6</v>
      </c>
      <c r="B52" s="587" t="s">
        <v>424</v>
      </c>
      <c r="C52" s="589">
        <v>1364747</v>
      </c>
      <c r="D52" s="591">
        <v>914334</v>
      </c>
      <c r="E52" s="590">
        <f t="shared" si="4"/>
        <v>-450413</v>
      </c>
    </row>
    <row r="53" spans="1:5" s="421" customFormat="1" x14ac:dyDescent="0.2">
      <c r="A53" s="588">
        <v>7</v>
      </c>
      <c r="B53" s="587" t="s">
        <v>759</v>
      </c>
      <c r="C53" s="589">
        <v>706485</v>
      </c>
      <c r="D53" s="591">
        <v>493407</v>
      </c>
      <c r="E53" s="590">
        <f t="shared" si="4"/>
        <v>-213078</v>
      </c>
    </row>
    <row r="54" spans="1:5" s="421" customFormat="1" x14ac:dyDescent="0.2">
      <c r="A54" s="588"/>
      <c r="B54" s="592" t="s">
        <v>791</v>
      </c>
      <c r="C54" s="593">
        <f>SUM(C48+C49+C52)</f>
        <v>74103379</v>
      </c>
      <c r="D54" s="593">
        <f>SUM(D48+D49+D52)</f>
        <v>67268928</v>
      </c>
      <c r="E54" s="593">
        <f t="shared" si="4"/>
        <v>-6834451</v>
      </c>
    </row>
    <row r="55" spans="1:5" s="421" customFormat="1" x14ac:dyDescent="0.2">
      <c r="A55" s="588"/>
      <c r="B55" s="592" t="s">
        <v>466</v>
      </c>
      <c r="C55" s="593">
        <f>SUM(C47+C54)</f>
        <v>130458162</v>
      </c>
      <c r="D55" s="593">
        <f>SUM(D47+D54)</f>
        <v>118951326</v>
      </c>
      <c r="E55" s="593">
        <f t="shared" si="4"/>
        <v>-11506836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99051979</v>
      </c>
      <c r="D58" s="589">
        <v>102453556</v>
      </c>
      <c r="E58" s="590">
        <f t="shared" ref="E58:E66" si="5">D58-C58</f>
        <v>3401577</v>
      </c>
    </row>
    <row r="59" spans="1:5" s="421" customFormat="1" x14ac:dyDescent="0.2">
      <c r="A59" s="588">
        <v>2</v>
      </c>
      <c r="B59" s="587" t="s">
        <v>636</v>
      </c>
      <c r="C59" s="589">
        <v>29749794</v>
      </c>
      <c r="D59" s="591">
        <v>31703568</v>
      </c>
      <c r="E59" s="590">
        <f t="shared" si="5"/>
        <v>1953774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16067197</v>
      </c>
      <c r="D60" s="591">
        <f>D61+D62</f>
        <v>20017890</v>
      </c>
      <c r="E60" s="590">
        <f t="shared" si="5"/>
        <v>3950693</v>
      </c>
    </row>
    <row r="61" spans="1:5" s="421" customFormat="1" x14ac:dyDescent="0.2">
      <c r="A61" s="588">
        <v>4</v>
      </c>
      <c r="B61" s="587" t="s">
        <v>115</v>
      </c>
      <c r="C61" s="589">
        <v>15800535</v>
      </c>
      <c r="D61" s="591">
        <v>19514011</v>
      </c>
      <c r="E61" s="590">
        <f t="shared" si="5"/>
        <v>3713476</v>
      </c>
    </row>
    <row r="62" spans="1:5" s="421" customFormat="1" x14ac:dyDescent="0.2">
      <c r="A62" s="588">
        <v>5</v>
      </c>
      <c r="B62" s="587" t="s">
        <v>744</v>
      </c>
      <c r="C62" s="589">
        <v>266662</v>
      </c>
      <c r="D62" s="591">
        <v>503879</v>
      </c>
      <c r="E62" s="590">
        <f t="shared" si="5"/>
        <v>237217</v>
      </c>
    </row>
    <row r="63" spans="1:5" s="421" customFormat="1" x14ac:dyDescent="0.2">
      <c r="A63" s="588">
        <v>6</v>
      </c>
      <c r="B63" s="587" t="s">
        <v>424</v>
      </c>
      <c r="C63" s="589">
        <v>1957670</v>
      </c>
      <c r="D63" s="591">
        <v>1776013</v>
      </c>
      <c r="E63" s="590">
        <f t="shared" si="5"/>
        <v>-181657</v>
      </c>
    </row>
    <row r="64" spans="1:5" s="421" customFormat="1" x14ac:dyDescent="0.2">
      <c r="A64" s="588">
        <v>7</v>
      </c>
      <c r="B64" s="587" t="s">
        <v>759</v>
      </c>
      <c r="C64" s="589">
        <v>1974665</v>
      </c>
      <c r="D64" s="591">
        <v>1892058</v>
      </c>
      <c r="E64" s="590">
        <f t="shared" si="5"/>
        <v>-82607</v>
      </c>
    </row>
    <row r="65" spans="1:5" s="421" customFormat="1" x14ac:dyDescent="0.2">
      <c r="A65" s="588"/>
      <c r="B65" s="592" t="s">
        <v>793</v>
      </c>
      <c r="C65" s="593">
        <f>SUM(C59+C60+C63)</f>
        <v>47774661</v>
      </c>
      <c r="D65" s="593">
        <f>SUM(D59+D60+D63)</f>
        <v>53497471</v>
      </c>
      <c r="E65" s="593">
        <f t="shared" si="5"/>
        <v>5722810</v>
      </c>
    </row>
    <row r="66" spans="1:5" s="421" customFormat="1" x14ac:dyDescent="0.2">
      <c r="A66" s="588"/>
      <c r="B66" s="592" t="s">
        <v>468</v>
      </c>
      <c r="C66" s="593">
        <f>SUM(C58+C65)</f>
        <v>146826640</v>
      </c>
      <c r="D66" s="593">
        <f>SUM(D58+D65)</f>
        <v>155951027</v>
      </c>
      <c r="E66" s="593">
        <f t="shared" si="5"/>
        <v>9124387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155406762</v>
      </c>
      <c r="D69" s="590">
        <f t="shared" si="6"/>
        <v>154135954</v>
      </c>
      <c r="E69" s="590">
        <f t="shared" ref="E69:E77" si="7">D69-C69</f>
        <v>-1270808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91857700</v>
      </c>
      <c r="D70" s="590">
        <f t="shared" si="6"/>
        <v>86019959</v>
      </c>
      <c r="E70" s="590">
        <f t="shared" si="7"/>
        <v>-5837741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26697923</v>
      </c>
      <c r="D71" s="590">
        <f t="shared" si="6"/>
        <v>32056093</v>
      </c>
      <c r="E71" s="590">
        <f t="shared" si="7"/>
        <v>5358170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26068440</v>
      </c>
      <c r="D72" s="590">
        <f t="shared" si="6"/>
        <v>31231570</v>
      </c>
      <c r="E72" s="590">
        <f t="shared" si="7"/>
        <v>5163130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629483</v>
      </c>
      <c r="D73" s="590">
        <f t="shared" si="6"/>
        <v>824523</v>
      </c>
      <c r="E73" s="590">
        <f t="shared" si="7"/>
        <v>195040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3322417</v>
      </c>
      <c r="D74" s="590">
        <f t="shared" si="6"/>
        <v>2690347</v>
      </c>
      <c r="E74" s="590">
        <f t="shared" si="7"/>
        <v>-632070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2681150</v>
      </c>
      <c r="D75" s="590">
        <f t="shared" si="6"/>
        <v>2385465</v>
      </c>
      <c r="E75" s="590">
        <f t="shared" si="7"/>
        <v>-295685</v>
      </c>
    </row>
    <row r="76" spans="1:5" s="421" customFormat="1" x14ac:dyDescent="0.2">
      <c r="A76" s="588"/>
      <c r="B76" s="592" t="s">
        <v>794</v>
      </c>
      <c r="C76" s="593">
        <f>SUM(C70+C71+C74)</f>
        <v>121878040</v>
      </c>
      <c r="D76" s="593">
        <f>SUM(D70+D71+D74)</f>
        <v>120766399</v>
      </c>
      <c r="E76" s="593">
        <f t="shared" si="7"/>
        <v>-1111641</v>
      </c>
    </row>
    <row r="77" spans="1:5" s="421" customFormat="1" x14ac:dyDescent="0.2">
      <c r="A77" s="588"/>
      <c r="B77" s="592" t="s">
        <v>727</v>
      </c>
      <c r="C77" s="593">
        <f>SUM(C69+C76)</f>
        <v>277284802</v>
      </c>
      <c r="D77" s="593">
        <f>SUM(D69+D76)</f>
        <v>274902353</v>
      </c>
      <c r="E77" s="593">
        <f t="shared" si="7"/>
        <v>-2382449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0.11531481568426306</v>
      </c>
      <c r="D83" s="599">
        <f t="shared" si="8"/>
        <v>0.1075744356010619</v>
      </c>
      <c r="E83" s="599">
        <f t="shared" ref="E83:E91" si="9">D83-C83</f>
        <v>-7.7403800832011593E-3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0.20329441398659731</v>
      </c>
      <c r="D84" s="599">
        <f t="shared" si="8"/>
        <v>0.20161610365271546</v>
      </c>
      <c r="E84" s="599">
        <f t="shared" si="9"/>
        <v>-1.678310333881855E-3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6.1925829583153381E-2</v>
      </c>
      <c r="D85" s="599">
        <f t="shared" si="8"/>
        <v>6.1668905246203214E-2</v>
      </c>
      <c r="E85" s="599">
        <f t="shared" si="9"/>
        <v>-2.5692433695016781E-4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5.9884474485947442E-2</v>
      </c>
      <c r="D86" s="599">
        <f t="shared" si="8"/>
        <v>6.0114799294875891E-2</v>
      </c>
      <c r="E86" s="599">
        <f t="shared" si="9"/>
        <v>2.3032480892844903E-4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2.0413550972059416E-3</v>
      </c>
      <c r="D87" s="599">
        <f t="shared" si="8"/>
        <v>1.5541059513273228E-3</v>
      </c>
      <c r="E87" s="599">
        <f t="shared" si="9"/>
        <v>-4.8724914587861879E-4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5.0755773130011245E-3</v>
      </c>
      <c r="D88" s="599">
        <f t="shared" si="8"/>
        <v>3.6288219372820336E-3</v>
      </c>
      <c r="E88" s="599">
        <f t="shared" si="9"/>
        <v>-1.4467553757190909E-3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4.4050791852930787E-3</v>
      </c>
      <c r="D89" s="599">
        <f t="shared" si="8"/>
        <v>4.6549703768602345E-3</v>
      </c>
      <c r="E89" s="599">
        <f t="shared" si="9"/>
        <v>2.4989119156715572E-4</v>
      </c>
    </row>
    <row r="90" spans="1:5" s="421" customFormat="1" x14ac:dyDescent="0.2">
      <c r="A90" s="588"/>
      <c r="B90" s="592" t="s">
        <v>797</v>
      </c>
      <c r="C90" s="600">
        <f>SUM(C84+C85+C88)</f>
        <v>0.27029582088275184</v>
      </c>
      <c r="D90" s="600">
        <f>SUM(D84+D85+D88)</f>
        <v>0.26691383083620068</v>
      </c>
      <c r="E90" s="601">
        <f t="shared" si="9"/>
        <v>-3.3819900465511532E-3</v>
      </c>
    </row>
    <row r="91" spans="1:5" s="421" customFormat="1" x14ac:dyDescent="0.2">
      <c r="A91" s="588"/>
      <c r="B91" s="592" t="s">
        <v>798</v>
      </c>
      <c r="C91" s="600">
        <f>SUM(C83+C90)</f>
        <v>0.38561063656701489</v>
      </c>
      <c r="D91" s="600">
        <f>SUM(D83+D90)</f>
        <v>0.37448826643726257</v>
      </c>
      <c r="E91" s="601">
        <f t="shared" si="9"/>
        <v>-1.1122370129752313E-2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0.28886412269206596</v>
      </c>
      <c r="D95" s="599">
        <f t="shared" si="10"/>
        <v>0.27971737627142179</v>
      </c>
      <c r="E95" s="599">
        <f t="shared" ref="E95:E103" si="11">D95-C95</f>
        <v>-9.1467464206441695E-3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0.19708635203342031</v>
      </c>
      <c r="D96" s="599">
        <f t="shared" si="10"/>
        <v>0.20278107005772544</v>
      </c>
      <c r="E96" s="599">
        <f t="shared" si="11"/>
        <v>5.6947180243051287E-3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0.11675501514551502</v>
      </c>
      <c r="D97" s="599">
        <f t="shared" si="10"/>
        <v>0.1320694760463175</v>
      </c>
      <c r="E97" s="599">
        <f t="shared" si="11"/>
        <v>1.5314460900802476E-2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0.11483921476570136</v>
      </c>
      <c r="D98" s="599">
        <f t="shared" si="10"/>
        <v>0.12903269256793543</v>
      </c>
      <c r="E98" s="599">
        <f t="shared" si="11"/>
        <v>1.4193477802234067E-2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1.9158003798136615E-3</v>
      </c>
      <c r="D99" s="599">
        <f t="shared" si="10"/>
        <v>3.0367834783820743E-3</v>
      </c>
      <c r="E99" s="599">
        <f t="shared" si="11"/>
        <v>1.1209830985684129E-3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1.1683873561983839E-2</v>
      </c>
      <c r="D100" s="599">
        <f t="shared" si="10"/>
        <v>1.0943811187272662E-2</v>
      </c>
      <c r="E100" s="599">
        <f t="shared" si="11"/>
        <v>-7.4006237471117668E-4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1.6915049889739315E-2</v>
      </c>
      <c r="D101" s="599">
        <f t="shared" si="10"/>
        <v>1.760359888930868E-2</v>
      </c>
      <c r="E101" s="599">
        <f t="shared" si="11"/>
        <v>6.8854899956936541E-4</v>
      </c>
    </row>
    <row r="102" spans="1:5" s="421" customFormat="1" x14ac:dyDescent="0.2">
      <c r="A102" s="588"/>
      <c r="B102" s="592" t="s">
        <v>800</v>
      </c>
      <c r="C102" s="600">
        <f>SUM(C96+C97+C100)</f>
        <v>0.32552524074091921</v>
      </c>
      <c r="D102" s="600">
        <f>SUM(D96+D97+D100)</f>
        <v>0.34579435729131563</v>
      </c>
      <c r="E102" s="601">
        <f t="shared" si="11"/>
        <v>2.0269116550396427E-2</v>
      </c>
    </row>
    <row r="103" spans="1:5" s="421" customFormat="1" x14ac:dyDescent="0.2">
      <c r="A103" s="588"/>
      <c r="B103" s="592" t="s">
        <v>801</v>
      </c>
      <c r="C103" s="600">
        <f>SUM(C95+C102)</f>
        <v>0.61438936343298511</v>
      </c>
      <c r="D103" s="600">
        <f>SUM(D95+D102)</f>
        <v>0.62551173356273737</v>
      </c>
      <c r="E103" s="601">
        <f t="shared" si="11"/>
        <v>1.1122370129752257E-2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0.20323790771626929</v>
      </c>
      <c r="D109" s="599">
        <f t="shared" si="12"/>
        <v>0.1880027487432965</v>
      </c>
      <c r="E109" s="599">
        <f t="shared" ref="E109:E117" si="13">D109-C109</f>
        <v>-1.5235158972972784E-2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0.22398597237218937</v>
      </c>
      <c r="D110" s="599">
        <f t="shared" si="12"/>
        <v>0.19758430732675467</v>
      </c>
      <c r="E110" s="599">
        <f t="shared" si="13"/>
        <v>-2.6401665045434702E-2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3.8338653699455189E-2</v>
      </c>
      <c r="D111" s="599">
        <f t="shared" si="12"/>
        <v>4.3790832885304554E-2</v>
      </c>
      <c r="E111" s="599">
        <f t="shared" si="13"/>
        <v>5.4521791858493651E-3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3.7030175927204263E-2</v>
      </c>
      <c r="D112" s="599">
        <f t="shared" si="12"/>
        <v>4.2624440540892712E-2</v>
      </c>
      <c r="E112" s="599">
        <f t="shared" si="13"/>
        <v>5.5942646136884489E-3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1.3084777722509292E-3</v>
      </c>
      <c r="D113" s="599">
        <f t="shared" si="12"/>
        <v>1.1663923444118357E-3</v>
      </c>
      <c r="E113" s="599">
        <f t="shared" si="13"/>
        <v>-1.4208542783909349E-4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4.9218240240949084E-3</v>
      </c>
      <c r="D114" s="599">
        <f t="shared" si="12"/>
        <v>3.3260319165038213E-3</v>
      </c>
      <c r="E114" s="599">
        <f t="shared" si="13"/>
        <v>-1.595792107591087E-3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2.5478677334793125E-3</v>
      </c>
      <c r="D115" s="599">
        <f t="shared" si="12"/>
        <v>1.7948445861429203E-3</v>
      </c>
      <c r="E115" s="599">
        <f t="shared" si="13"/>
        <v>-7.5302314733639224E-4</v>
      </c>
    </row>
    <row r="116" spans="1:5" s="421" customFormat="1" x14ac:dyDescent="0.2">
      <c r="A116" s="588"/>
      <c r="B116" s="592" t="s">
        <v>797</v>
      </c>
      <c r="C116" s="600">
        <f>SUM(C110+C111+C114)</f>
        <v>0.26724645009573944</v>
      </c>
      <c r="D116" s="600">
        <f>SUM(D110+D111+D114)</f>
        <v>0.24470117212856304</v>
      </c>
      <c r="E116" s="601">
        <f t="shared" si="13"/>
        <v>-2.2545277967176397E-2</v>
      </c>
    </row>
    <row r="117" spans="1:5" s="421" customFormat="1" x14ac:dyDescent="0.2">
      <c r="A117" s="588"/>
      <c r="B117" s="592" t="s">
        <v>798</v>
      </c>
      <c r="C117" s="600">
        <f>SUM(C109+C116)</f>
        <v>0.4704843578120087</v>
      </c>
      <c r="D117" s="600">
        <f>SUM(D109+D116)</f>
        <v>0.43270392087185955</v>
      </c>
      <c r="E117" s="601">
        <f t="shared" si="13"/>
        <v>-3.7780436940149154E-2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0.3572210892395033</v>
      </c>
      <c r="D121" s="599">
        <f t="shared" si="14"/>
        <v>0.37269072047557195</v>
      </c>
      <c r="E121" s="599">
        <f t="shared" ref="E121:E129" si="15">D121-C121</f>
        <v>1.5469631236068648E-2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0.10728966674487987</v>
      </c>
      <c r="D122" s="599">
        <f t="shared" si="14"/>
        <v>0.11532665200577603</v>
      </c>
      <c r="E122" s="599">
        <f t="shared" si="15"/>
        <v>8.0369852608961623E-3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5.7944744479720887E-2</v>
      </c>
      <c r="D123" s="599">
        <f t="shared" si="14"/>
        <v>7.2818183553343394E-2</v>
      </c>
      <c r="E123" s="599">
        <f t="shared" si="15"/>
        <v>1.4873439073622506E-2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5.6983054556304175E-2</v>
      </c>
      <c r="D124" s="599">
        <f t="shared" si="14"/>
        <v>7.0985245440951167E-2</v>
      </c>
      <c r="E124" s="599">
        <f t="shared" si="15"/>
        <v>1.4002190884646992E-2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9.6168992341671869E-4</v>
      </c>
      <c r="D125" s="599">
        <f t="shared" si="14"/>
        <v>1.8329381123922208E-3</v>
      </c>
      <c r="E125" s="599">
        <f t="shared" si="15"/>
        <v>8.7124818897550216E-4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7.0601417238871965E-3</v>
      </c>
      <c r="D126" s="599">
        <f t="shared" si="14"/>
        <v>6.4605230934491132E-3</v>
      </c>
      <c r="E126" s="599">
        <f t="shared" si="15"/>
        <v>-5.9961863043808336E-4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7.1214324974074854E-3</v>
      </c>
      <c r="D127" s="599">
        <f t="shared" si="14"/>
        <v>6.8826548021580598E-3</v>
      </c>
      <c r="E127" s="599">
        <f t="shared" si="15"/>
        <v>-2.3877769524942565E-4</v>
      </c>
    </row>
    <row r="128" spans="1:5" s="421" customFormat="1" x14ac:dyDescent="0.2">
      <c r="A128" s="588"/>
      <c r="B128" s="592" t="s">
        <v>800</v>
      </c>
      <c r="C128" s="600">
        <f>SUM(C122+C123+C126)</f>
        <v>0.17229455294848794</v>
      </c>
      <c r="D128" s="600">
        <f>SUM(D122+D123+D126)</f>
        <v>0.19460535865256853</v>
      </c>
      <c r="E128" s="601">
        <f t="shared" si="15"/>
        <v>2.2310805704080588E-2</v>
      </c>
    </row>
    <row r="129" spans="1:5" s="421" customFormat="1" x14ac:dyDescent="0.2">
      <c r="A129" s="588"/>
      <c r="B129" s="592" t="s">
        <v>801</v>
      </c>
      <c r="C129" s="600">
        <f>SUM(C121+C128)</f>
        <v>0.52951564218799119</v>
      </c>
      <c r="D129" s="600">
        <f>SUM(D121+D128)</f>
        <v>0.56729607912814051</v>
      </c>
      <c r="E129" s="601">
        <f t="shared" si="15"/>
        <v>3.778043694014932E-2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0.99999999999999989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3836</v>
      </c>
      <c r="D137" s="606">
        <v>3554</v>
      </c>
      <c r="E137" s="607">
        <f t="shared" ref="E137:E145" si="16">D137-C137</f>
        <v>-282</v>
      </c>
    </row>
    <row r="138" spans="1:5" s="421" customFormat="1" x14ac:dyDescent="0.2">
      <c r="A138" s="588">
        <v>2</v>
      </c>
      <c r="B138" s="587" t="s">
        <v>636</v>
      </c>
      <c r="C138" s="606">
        <v>5508</v>
      </c>
      <c r="D138" s="606">
        <v>5244</v>
      </c>
      <c r="E138" s="607">
        <f t="shared" si="16"/>
        <v>-264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2347</v>
      </c>
      <c r="D139" s="606">
        <f>D140+D141</f>
        <v>2409</v>
      </c>
      <c r="E139" s="607">
        <f t="shared" si="16"/>
        <v>62</v>
      </c>
    </row>
    <row r="140" spans="1:5" s="421" customFormat="1" x14ac:dyDescent="0.2">
      <c r="A140" s="588">
        <v>4</v>
      </c>
      <c r="B140" s="587" t="s">
        <v>115</v>
      </c>
      <c r="C140" s="606">
        <v>2286</v>
      </c>
      <c r="D140" s="606">
        <v>2341</v>
      </c>
      <c r="E140" s="607">
        <f t="shared" si="16"/>
        <v>55</v>
      </c>
    </row>
    <row r="141" spans="1:5" s="421" customFormat="1" x14ac:dyDescent="0.2">
      <c r="A141" s="588">
        <v>5</v>
      </c>
      <c r="B141" s="587" t="s">
        <v>744</v>
      </c>
      <c r="C141" s="606">
        <v>61</v>
      </c>
      <c r="D141" s="606">
        <v>68</v>
      </c>
      <c r="E141" s="607">
        <f t="shared" si="16"/>
        <v>7</v>
      </c>
    </row>
    <row r="142" spans="1:5" s="421" customFormat="1" x14ac:dyDescent="0.2">
      <c r="A142" s="588">
        <v>6</v>
      </c>
      <c r="B142" s="587" t="s">
        <v>424</v>
      </c>
      <c r="C142" s="606">
        <v>220</v>
      </c>
      <c r="D142" s="606">
        <v>189</v>
      </c>
      <c r="E142" s="607">
        <f t="shared" si="16"/>
        <v>-31</v>
      </c>
    </row>
    <row r="143" spans="1:5" s="421" customFormat="1" x14ac:dyDescent="0.2">
      <c r="A143" s="588">
        <v>7</v>
      </c>
      <c r="B143" s="587" t="s">
        <v>759</v>
      </c>
      <c r="C143" s="606">
        <v>124</v>
      </c>
      <c r="D143" s="606">
        <v>132</v>
      </c>
      <c r="E143" s="607">
        <f t="shared" si="16"/>
        <v>8</v>
      </c>
    </row>
    <row r="144" spans="1:5" s="421" customFormat="1" x14ac:dyDescent="0.2">
      <c r="A144" s="588"/>
      <c r="B144" s="592" t="s">
        <v>808</v>
      </c>
      <c r="C144" s="608">
        <f>SUM(C138+C139+C142)</f>
        <v>8075</v>
      </c>
      <c r="D144" s="608">
        <f>SUM(D138+D139+D142)</f>
        <v>7842</v>
      </c>
      <c r="E144" s="609">
        <f t="shared" si="16"/>
        <v>-233</v>
      </c>
    </row>
    <row r="145" spans="1:5" s="421" customFormat="1" x14ac:dyDescent="0.2">
      <c r="A145" s="588"/>
      <c r="B145" s="592" t="s">
        <v>138</v>
      </c>
      <c r="C145" s="608">
        <f>SUM(C137+C144)</f>
        <v>11911</v>
      </c>
      <c r="D145" s="608">
        <f>SUM(D137+D144)</f>
        <v>11396</v>
      </c>
      <c r="E145" s="609">
        <f t="shared" si="16"/>
        <v>-515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12722</v>
      </c>
      <c r="D149" s="610">
        <v>11949</v>
      </c>
      <c r="E149" s="607">
        <f t="shared" ref="E149:E157" si="17">D149-C149</f>
        <v>-773</v>
      </c>
    </row>
    <row r="150" spans="1:5" s="421" customFormat="1" x14ac:dyDescent="0.2">
      <c r="A150" s="588">
        <v>2</v>
      </c>
      <c r="B150" s="587" t="s">
        <v>636</v>
      </c>
      <c r="C150" s="610">
        <v>26918</v>
      </c>
      <c r="D150" s="610">
        <v>26720</v>
      </c>
      <c r="E150" s="607">
        <f t="shared" si="17"/>
        <v>-198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9085</v>
      </c>
      <c r="D151" s="610">
        <f>D152+D153</f>
        <v>9302</v>
      </c>
      <c r="E151" s="607">
        <f t="shared" si="17"/>
        <v>217</v>
      </c>
    </row>
    <row r="152" spans="1:5" s="421" customFormat="1" x14ac:dyDescent="0.2">
      <c r="A152" s="588">
        <v>4</v>
      </c>
      <c r="B152" s="587" t="s">
        <v>115</v>
      </c>
      <c r="C152" s="610">
        <v>8812</v>
      </c>
      <c r="D152" s="610">
        <v>9062</v>
      </c>
      <c r="E152" s="607">
        <f t="shared" si="17"/>
        <v>250</v>
      </c>
    </row>
    <row r="153" spans="1:5" s="421" customFormat="1" x14ac:dyDescent="0.2">
      <c r="A153" s="588">
        <v>5</v>
      </c>
      <c r="B153" s="587" t="s">
        <v>744</v>
      </c>
      <c r="C153" s="611">
        <v>273</v>
      </c>
      <c r="D153" s="610">
        <v>240</v>
      </c>
      <c r="E153" s="607">
        <f t="shared" si="17"/>
        <v>-33</v>
      </c>
    </row>
    <row r="154" spans="1:5" s="421" customFormat="1" x14ac:dyDescent="0.2">
      <c r="A154" s="588">
        <v>6</v>
      </c>
      <c r="B154" s="587" t="s">
        <v>424</v>
      </c>
      <c r="C154" s="610">
        <v>636</v>
      </c>
      <c r="D154" s="610">
        <v>494</v>
      </c>
      <c r="E154" s="607">
        <f t="shared" si="17"/>
        <v>-142</v>
      </c>
    </row>
    <row r="155" spans="1:5" s="421" customFormat="1" x14ac:dyDescent="0.2">
      <c r="A155" s="588">
        <v>7</v>
      </c>
      <c r="B155" s="587" t="s">
        <v>759</v>
      </c>
      <c r="C155" s="610">
        <v>595</v>
      </c>
      <c r="D155" s="610">
        <v>496</v>
      </c>
      <c r="E155" s="607">
        <f t="shared" si="17"/>
        <v>-99</v>
      </c>
    </row>
    <row r="156" spans="1:5" s="421" customFormat="1" x14ac:dyDescent="0.2">
      <c r="A156" s="588"/>
      <c r="B156" s="592" t="s">
        <v>809</v>
      </c>
      <c r="C156" s="608">
        <f>SUM(C150+C151+C154)</f>
        <v>36639</v>
      </c>
      <c r="D156" s="608">
        <f>SUM(D150+D151+D154)</f>
        <v>36516</v>
      </c>
      <c r="E156" s="609">
        <f t="shared" si="17"/>
        <v>-123</v>
      </c>
    </row>
    <row r="157" spans="1:5" s="421" customFormat="1" x14ac:dyDescent="0.2">
      <c r="A157" s="588"/>
      <c r="B157" s="592" t="s">
        <v>140</v>
      </c>
      <c r="C157" s="608">
        <f>SUM(C149+C156)</f>
        <v>49361</v>
      </c>
      <c r="D157" s="608">
        <f>SUM(D149+D156)</f>
        <v>48465</v>
      </c>
      <c r="E157" s="609">
        <f t="shared" si="17"/>
        <v>-896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3.3164754953076119</v>
      </c>
      <c r="D161" s="612">
        <f t="shared" si="18"/>
        <v>3.3621271806415307</v>
      </c>
      <c r="E161" s="613">
        <f t="shared" ref="E161:E169" si="19">D161-C161</f>
        <v>4.5651685333918834E-2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4.8870733478576618</v>
      </c>
      <c r="D162" s="612">
        <f t="shared" si="18"/>
        <v>5.0953470633104496</v>
      </c>
      <c r="E162" s="613">
        <f t="shared" si="19"/>
        <v>0.20827371545278783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3.8708990200255644</v>
      </c>
      <c r="D163" s="612">
        <f t="shared" si="18"/>
        <v>3.8613532586135326</v>
      </c>
      <c r="E163" s="613">
        <f t="shared" si="19"/>
        <v>-9.5457614120317835E-3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3.8547681539807526</v>
      </c>
      <c r="D164" s="612">
        <f t="shared" si="18"/>
        <v>3.8709953011533531</v>
      </c>
      <c r="E164" s="613">
        <f t="shared" si="19"/>
        <v>1.6227147172600542E-2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4.4754098360655741</v>
      </c>
      <c r="D165" s="612">
        <f t="shared" si="18"/>
        <v>3.5294117647058822</v>
      </c>
      <c r="E165" s="613">
        <f t="shared" si="19"/>
        <v>-0.94599807135969183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2.8909090909090911</v>
      </c>
      <c r="D166" s="612">
        <f t="shared" si="18"/>
        <v>2.6137566137566139</v>
      </c>
      <c r="E166" s="613">
        <f t="shared" si="19"/>
        <v>-0.27715247715247715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4.7983870967741939</v>
      </c>
      <c r="D167" s="612">
        <f t="shared" si="18"/>
        <v>3.7575757575757578</v>
      </c>
      <c r="E167" s="613">
        <f t="shared" si="19"/>
        <v>-1.0408113391984362</v>
      </c>
    </row>
    <row r="168" spans="1:5" s="421" customFormat="1" x14ac:dyDescent="0.2">
      <c r="A168" s="588"/>
      <c r="B168" s="592" t="s">
        <v>811</v>
      </c>
      <c r="C168" s="614">
        <f t="shared" si="18"/>
        <v>4.5373374613003099</v>
      </c>
      <c r="D168" s="614">
        <f t="shared" si="18"/>
        <v>4.6564651874521807</v>
      </c>
      <c r="E168" s="615">
        <f t="shared" si="19"/>
        <v>0.11912772615187084</v>
      </c>
    </row>
    <row r="169" spans="1:5" s="421" customFormat="1" x14ac:dyDescent="0.2">
      <c r="A169" s="588"/>
      <c r="B169" s="592" t="s">
        <v>745</v>
      </c>
      <c r="C169" s="614">
        <f t="shared" si="18"/>
        <v>4.1441524641088066</v>
      </c>
      <c r="D169" s="614">
        <f t="shared" si="18"/>
        <v>4.2528080028080026</v>
      </c>
      <c r="E169" s="615">
        <f t="shared" si="19"/>
        <v>0.10865553869919609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1.2529999999999999</v>
      </c>
      <c r="D173" s="617">
        <f t="shared" si="20"/>
        <v>1.2533000000000001</v>
      </c>
      <c r="E173" s="618">
        <f t="shared" ref="E173:E181" si="21">D173-C173</f>
        <v>3.00000000000189E-4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1.3653999999999999</v>
      </c>
      <c r="D174" s="617">
        <f t="shared" si="20"/>
        <v>1.4244000000000001</v>
      </c>
      <c r="E174" s="618">
        <f t="shared" si="21"/>
        <v>5.9000000000000163E-2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1.0055730293992331</v>
      </c>
      <c r="D175" s="617">
        <f t="shared" si="20"/>
        <v>1.0555388542963886</v>
      </c>
      <c r="E175" s="618">
        <f t="shared" si="21"/>
        <v>4.9965824897155509E-2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1.0051000000000001</v>
      </c>
      <c r="D176" s="617">
        <f t="shared" si="20"/>
        <v>1.0599000000000001</v>
      </c>
      <c r="E176" s="618">
        <f t="shared" si="21"/>
        <v>5.479999999999996E-2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1.0233000000000001</v>
      </c>
      <c r="D177" s="617">
        <f t="shared" si="20"/>
        <v>0.90539999999999998</v>
      </c>
      <c r="E177" s="618">
        <f t="shared" si="21"/>
        <v>-0.11790000000000012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0.94120000000000015</v>
      </c>
      <c r="D178" s="617">
        <f t="shared" si="20"/>
        <v>0.73190000000000011</v>
      </c>
      <c r="E178" s="618">
        <f t="shared" si="21"/>
        <v>-0.20930000000000004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1.1507000000000001</v>
      </c>
      <c r="D179" s="617">
        <f t="shared" si="20"/>
        <v>0.99509999999999987</v>
      </c>
      <c r="E179" s="618">
        <f t="shared" si="21"/>
        <v>-0.15560000000000018</v>
      </c>
    </row>
    <row r="180" spans="1:5" s="421" customFormat="1" x14ac:dyDescent="0.2">
      <c r="A180" s="588"/>
      <c r="B180" s="592" t="s">
        <v>813</v>
      </c>
      <c r="C180" s="619">
        <f t="shared" si="20"/>
        <v>1.2492590835913313</v>
      </c>
      <c r="D180" s="619">
        <f t="shared" si="20"/>
        <v>1.2943988523335885</v>
      </c>
      <c r="E180" s="620">
        <f t="shared" si="21"/>
        <v>4.5139768742257225E-2</v>
      </c>
    </row>
    <row r="181" spans="1:5" s="421" customFormat="1" x14ac:dyDescent="0.2">
      <c r="A181" s="588"/>
      <c r="B181" s="592" t="s">
        <v>724</v>
      </c>
      <c r="C181" s="619">
        <f t="shared" si="20"/>
        <v>1.2504638653345648</v>
      </c>
      <c r="D181" s="619">
        <f t="shared" si="20"/>
        <v>1.2815816075816078</v>
      </c>
      <c r="E181" s="620">
        <f t="shared" si="21"/>
        <v>3.1117742247043001E-2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224371597</v>
      </c>
      <c r="D185" s="589">
        <v>226678237</v>
      </c>
      <c r="E185" s="590">
        <f>D185-C185</f>
        <v>2306640</v>
      </c>
    </row>
    <row r="186" spans="1:5" s="421" customFormat="1" ht="25.5" x14ac:dyDescent="0.2">
      <c r="A186" s="588">
        <v>2</v>
      </c>
      <c r="B186" s="587" t="s">
        <v>816</v>
      </c>
      <c r="C186" s="589">
        <v>150837482</v>
      </c>
      <c r="D186" s="589">
        <v>149952877</v>
      </c>
      <c r="E186" s="590">
        <f>D186-C186</f>
        <v>-884605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73534115</v>
      </c>
      <c r="D188" s="622">
        <f>+D185-D186</f>
        <v>76725360</v>
      </c>
      <c r="E188" s="590">
        <f t="shared" ref="E188:E197" si="22">D188-C188</f>
        <v>3191245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0.32773361683564611</v>
      </c>
      <c r="D189" s="623">
        <f>IF(D185=0,0,+D188/D185)</f>
        <v>0.33847695753871598</v>
      </c>
      <c r="E189" s="599">
        <f t="shared" si="22"/>
        <v>1.074334070306987E-2</v>
      </c>
    </row>
    <row r="190" spans="1:5" s="421" customFormat="1" x14ac:dyDescent="0.2">
      <c r="A190" s="588">
        <v>5</v>
      </c>
      <c r="B190" s="587" t="s">
        <v>763</v>
      </c>
      <c r="C190" s="589">
        <v>10979391</v>
      </c>
      <c r="D190" s="589">
        <v>10885970</v>
      </c>
      <c r="E190" s="622">
        <f t="shared" si="22"/>
        <v>-93421</v>
      </c>
    </row>
    <row r="191" spans="1:5" s="421" customFormat="1" x14ac:dyDescent="0.2">
      <c r="A191" s="588">
        <v>6</v>
      </c>
      <c r="B191" s="587" t="s">
        <v>749</v>
      </c>
      <c r="C191" s="589">
        <v>6410112</v>
      </c>
      <c r="D191" s="589">
        <v>6702893</v>
      </c>
      <c r="E191" s="622">
        <f t="shared" si="22"/>
        <v>292781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5341790</v>
      </c>
      <c r="D193" s="589">
        <v>5518573</v>
      </c>
      <c r="E193" s="622">
        <f t="shared" si="22"/>
        <v>176783</v>
      </c>
    </row>
    <row r="194" spans="1:5" s="421" customFormat="1" x14ac:dyDescent="0.2">
      <c r="A194" s="588">
        <v>9</v>
      </c>
      <c r="B194" s="587" t="s">
        <v>819</v>
      </c>
      <c r="C194" s="589">
        <v>8089246</v>
      </c>
      <c r="D194" s="589">
        <v>8822403</v>
      </c>
      <c r="E194" s="622">
        <f t="shared" si="22"/>
        <v>733157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13431036</v>
      </c>
      <c r="D195" s="589">
        <f>+D193+D194</f>
        <v>14340976</v>
      </c>
      <c r="E195" s="625">
        <f t="shared" si="22"/>
        <v>909940</v>
      </c>
    </row>
    <row r="196" spans="1:5" s="421" customFormat="1" x14ac:dyDescent="0.2">
      <c r="A196" s="588">
        <v>11</v>
      </c>
      <c r="B196" s="587" t="s">
        <v>821</v>
      </c>
      <c r="C196" s="589">
        <v>7456692</v>
      </c>
      <c r="D196" s="589">
        <v>7202302</v>
      </c>
      <c r="E196" s="622">
        <f t="shared" si="22"/>
        <v>-254390</v>
      </c>
    </row>
    <row r="197" spans="1:5" s="421" customFormat="1" x14ac:dyDescent="0.2">
      <c r="A197" s="588">
        <v>12</v>
      </c>
      <c r="B197" s="587" t="s">
        <v>711</v>
      </c>
      <c r="C197" s="589">
        <v>264111731</v>
      </c>
      <c r="D197" s="589">
        <v>249935251</v>
      </c>
      <c r="E197" s="622">
        <f t="shared" si="22"/>
        <v>-14176480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4806.5079999999998</v>
      </c>
      <c r="D203" s="629">
        <v>4454.2282000000005</v>
      </c>
      <c r="E203" s="630">
        <f t="shared" ref="E203:E211" si="23">D203-C203</f>
        <v>-352.27979999999934</v>
      </c>
    </row>
    <row r="204" spans="1:5" s="421" customFormat="1" x14ac:dyDescent="0.2">
      <c r="A204" s="588">
        <v>2</v>
      </c>
      <c r="B204" s="587" t="s">
        <v>636</v>
      </c>
      <c r="C204" s="629">
        <v>7520.6232</v>
      </c>
      <c r="D204" s="629">
        <v>7469.5536000000002</v>
      </c>
      <c r="E204" s="630">
        <f t="shared" si="23"/>
        <v>-51.069599999999809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2360.0799000000002</v>
      </c>
      <c r="D205" s="629">
        <f>D206+D207</f>
        <v>2542.7931000000003</v>
      </c>
      <c r="E205" s="630">
        <f t="shared" si="23"/>
        <v>182.71320000000014</v>
      </c>
    </row>
    <row r="206" spans="1:5" s="421" customFormat="1" x14ac:dyDescent="0.2">
      <c r="A206" s="588">
        <v>4</v>
      </c>
      <c r="B206" s="587" t="s">
        <v>115</v>
      </c>
      <c r="C206" s="629">
        <v>2297.6586000000002</v>
      </c>
      <c r="D206" s="629">
        <v>2481.2259000000004</v>
      </c>
      <c r="E206" s="630">
        <f t="shared" si="23"/>
        <v>183.56730000000016</v>
      </c>
    </row>
    <row r="207" spans="1:5" s="421" customFormat="1" x14ac:dyDescent="0.2">
      <c r="A207" s="588">
        <v>5</v>
      </c>
      <c r="B207" s="587" t="s">
        <v>744</v>
      </c>
      <c r="C207" s="629">
        <v>62.421300000000009</v>
      </c>
      <c r="D207" s="629">
        <v>61.5672</v>
      </c>
      <c r="E207" s="630">
        <f t="shared" si="23"/>
        <v>-0.85410000000000963</v>
      </c>
    </row>
    <row r="208" spans="1:5" s="421" customFormat="1" x14ac:dyDescent="0.2">
      <c r="A208" s="588">
        <v>6</v>
      </c>
      <c r="B208" s="587" t="s">
        <v>424</v>
      </c>
      <c r="C208" s="629">
        <v>207.06400000000002</v>
      </c>
      <c r="D208" s="629">
        <v>138.32910000000001</v>
      </c>
      <c r="E208" s="630">
        <f t="shared" si="23"/>
        <v>-68.73490000000001</v>
      </c>
    </row>
    <row r="209" spans="1:5" s="421" customFormat="1" x14ac:dyDescent="0.2">
      <c r="A209" s="588">
        <v>7</v>
      </c>
      <c r="B209" s="587" t="s">
        <v>759</v>
      </c>
      <c r="C209" s="629">
        <v>142.68680000000001</v>
      </c>
      <c r="D209" s="629">
        <v>131.35319999999999</v>
      </c>
      <c r="E209" s="630">
        <f t="shared" si="23"/>
        <v>-11.333600000000018</v>
      </c>
    </row>
    <row r="210" spans="1:5" s="421" customFormat="1" x14ac:dyDescent="0.2">
      <c r="A210" s="588"/>
      <c r="B210" s="592" t="s">
        <v>824</v>
      </c>
      <c r="C210" s="631">
        <f>C204+C205+C208</f>
        <v>10087.767100000001</v>
      </c>
      <c r="D210" s="631">
        <f>D204+D205+D208</f>
        <v>10150.675800000001</v>
      </c>
      <c r="E210" s="632">
        <f t="shared" si="23"/>
        <v>62.908699999999953</v>
      </c>
    </row>
    <row r="211" spans="1:5" s="421" customFormat="1" x14ac:dyDescent="0.2">
      <c r="A211" s="588"/>
      <c r="B211" s="592" t="s">
        <v>725</v>
      </c>
      <c r="C211" s="631">
        <f>C210+C203</f>
        <v>14894.275100000001</v>
      </c>
      <c r="D211" s="631">
        <f>D210+D203</f>
        <v>14604.904000000002</v>
      </c>
      <c r="E211" s="632">
        <f t="shared" si="23"/>
        <v>-289.37109999999848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9609.1969455229701</v>
      </c>
      <c r="D215" s="633">
        <f>IF(D14*D137=0,0,D25/D14*D137)</f>
        <v>9241.1877386491233</v>
      </c>
      <c r="E215" s="633">
        <f t="shared" ref="E215:E223" si="24">D215-C215</f>
        <v>-368.00920687384678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5339.8005666385252</v>
      </c>
      <c r="D216" s="633">
        <f>IF(D15*D138=0,0,D26/D15*D138)</f>
        <v>5274.3005747913621</v>
      </c>
      <c r="E216" s="633">
        <f t="shared" si="24"/>
        <v>-65.499991847163074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4441.0629501663816</v>
      </c>
      <c r="D217" s="633">
        <f>D218+D219</f>
        <v>5157.6861197601411</v>
      </c>
      <c r="E217" s="633">
        <f t="shared" si="24"/>
        <v>716.62316959375948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4383.8147901923585</v>
      </c>
      <c r="D218" s="633">
        <f t="shared" si="25"/>
        <v>5024.8114747891123</v>
      </c>
      <c r="E218" s="633">
        <f t="shared" si="24"/>
        <v>640.99668459675377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57.24815997402316</v>
      </c>
      <c r="D219" s="633">
        <f t="shared" si="25"/>
        <v>132.87464497102883</v>
      </c>
      <c r="E219" s="633">
        <f t="shared" si="24"/>
        <v>75.626484997005662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506.43543091191117</v>
      </c>
      <c r="D220" s="633">
        <f t="shared" si="25"/>
        <v>569.9867202477667</v>
      </c>
      <c r="E220" s="633">
        <f t="shared" si="24"/>
        <v>63.551289335855529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476.14721508987498</v>
      </c>
      <c r="D221" s="633">
        <f t="shared" si="25"/>
        <v>499.18149102294797</v>
      </c>
      <c r="E221" s="633">
        <f t="shared" si="24"/>
        <v>23.03427593307299</v>
      </c>
    </row>
    <row r="222" spans="1:5" s="421" customFormat="1" x14ac:dyDescent="0.2">
      <c r="A222" s="588"/>
      <c r="B222" s="592" t="s">
        <v>826</v>
      </c>
      <c r="C222" s="634">
        <f>C216+C218+C219+C220</f>
        <v>10287.298947716819</v>
      </c>
      <c r="D222" s="634">
        <f>D216+D218+D219+D220</f>
        <v>11001.973414799271</v>
      </c>
      <c r="E222" s="634">
        <f t="shared" si="24"/>
        <v>714.67446708245188</v>
      </c>
    </row>
    <row r="223" spans="1:5" s="421" customFormat="1" x14ac:dyDescent="0.2">
      <c r="A223" s="588"/>
      <c r="B223" s="592" t="s">
        <v>827</v>
      </c>
      <c r="C223" s="634">
        <f>C215+C222</f>
        <v>19896.495893239789</v>
      </c>
      <c r="D223" s="634">
        <f>D215+D222</f>
        <v>20243.161153448396</v>
      </c>
      <c r="E223" s="634">
        <f t="shared" si="24"/>
        <v>346.66526020860692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11724.683075530094</v>
      </c>
      <c r="D227" s="636">
        <f t="shared" si="26"/>
        <v>11602.997349799005</v>
      </c>
      <c r="E227" s="636">
        <f t="shared" ref="E227:E235" si="27">D227-C227</f>
        <v>-121.68572573108941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8258.3456647582079</v>
      </c>
      <c r="D228" s="636">
        <f t="shared" si="26"/>
        <v>7271.7050989499558</v>
      </c>
      <c r="E228" s="636">
        <f t="shared" si="27"/>
        <v>-986.64056580825218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4504.3924148500228</v>
      </c>
      <c r="D229" s="636">
        <f t="shared" si="26"/>
        <v>4734.2440090780483</v>
      </c>
      <c r="E229" s="636">
        <f t="shared" si="27"/>
        <v>229.85159422802553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4468.8558169607959</v>
      </c>
      <c r="D230" s="636">
        <f t="shared" si="26"/>
        <v>4722.4877831558979</v>
      </c>
      <c r="E230" s="636">
        <f t="shared" si="27"/>
        <v>253.631966195102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5812.455043390637</v>
      </c>
      <c r="D231" s="636">
        <f t="shared" si="26"/>
        <v>5208.0328486596763</v>
      </c>
      <c r="E231" s="636">
        <f t="shared" si="27"/>
        <v>-604.42219473096065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6590.942896882123</v>
      </c>
      <c r="D232" s="636">
        <f t="shared" si="26"/>
        <v>6609.8456506982257</v>
      </c>
      <c r="E232" s="636">
        <f t="shared" si="27"/>
        <v>18.902753816102631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4951.2989288427516</v>
      </c>
      <c r="D233" s="636">
        <f t="shared" si="26"/>
        <v>3756.3378737632584</v>
      </c>
      <c r="E233" s="636">
        <f t="shared" si="27"/>
        <v>-1194.9610550794932</v>
      </c>
    </row>
    <row r="234" spans="1:5" x14ac:dyDescent="0.2">
      <c r="A234" s="588"/>
      <c r="B234" s="592" t="s">
        <v>829</v>
      </c>
      <c r="C234" s="637">
        <f t="shared" si="26"/>
        <v>7345.865369948915</v>
      </c>
      <c r="D234" s="637">
        <f t="shared" si="26"/>
        <v>6627.039354364957</v>
      </c>
      <c r="E234" s="637">
        <f t="shared" si="27"/>
        <v>-718.826015583958</v>
      </c>
    </row>
    <row r="235" spans="1:5" s="421" customFormat="1" x14ac:dyDescent="0.2">
      <c r="A235" s="588"/>
      <c r="B235" s="592" t="s">
        <v>830</v>
      </c>
      <c r="C235" s="637">
        <f t="shared" si="26"/>
        <v>8758.9467177224342</v>
      </c>
      <c r="D235" s="637">
        <f t="shared" si="26"/>
        <v>8144.6153976773812</v>
      </c>
      <c r="E235" s="637">
        <f t="shared" si="27"/>
        <v>-614.33132004505296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10308.039221336743</v>
      </c>
      <c r="D239" s="636">
        <f t="shared" si="28"/>
        <v>11086.622076890806</v>
      </c>
      <c r="E239" s="638">
        <f t="shared" ref="E239:E247" si="29">D239-C239</f>
        <v>778.58285555406292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5571.3305447899693</v>
      </c>
      <c r="D240" s="636">
        <f t="shared" si="28"/>
        <v>6010.9520779926561</v>
      </c>
      <c r="E240" s="638">
        <f t="shared" si="29"/>
        <v>439.62153320268681</v>
      </c>
    </row>
    <row r="241" spans="1:5" x14ac:dyDescent="0.2">
      <c r="A241" s="588">
        <v>3</v>
      </c>
      <c r="B241" s="587" t="s">
        <v>778</v>
      </c>
      <c r="C241" s="636">
        <f t="shared" si="28"/>
        <v>3617.8719329790297</v>
      </c>
      <c r="D241" s="636">
        <f t="shared" si="28"/>
        <v>3881.1764685150974</v>
      </c>
      <c r="E241" s="638">
        <f t="shared" si="29"/>
        <v>263.30453553606776</v>
      </c>
    </row>
    <row r="242" spans="1:5" x14ac:dyDescent="0.2">
      <c r="A242" s="588">
        <v>4</v>
      </c>
      <c r="B242" s="587" t="s">
        <v>115</v>
      </c>
      <c r="C242" s="636">
        <f t="shared" si="28"/>
        <v>3604.2889027496267</v>
      </c>
      <c r="D242" s="636">
        <f t="shared" si="28"/>
        <v>3883.5309738300161</v>
      </c>
      <c r="E242" s="638">
        <f t="shared" si="29"/>
        <v>279.24207108038945</v>
      </c>
    </row>
    <row r="243" spans="1:5" x14ac:dyDescent="0.2">
      <c r="A243" s="588">
        <v>5</v>
      </c>
      <c r="B243" s="587" t="s">
        <v>744</v>
      </c>
      <c r="C243" s="636">
        <f t="shared" si="28"/>
        <v>4658.0012374371536</v>
      </c>
      <c r="D243" s="636">
        <f t="shared" si="28"/>
        <v>3792.1380720141356</v>
      </c>
      <c r="E243" s="638">
        <f t="shared" si="29"/>
        <v>-865.86316542301802</v>
      </c>
    </row>
    <row r="244" spans="1:5" x14ac:dyDescent="0.2">
      <c r="A244" s="588">
        <v>6</v>
      </c>
      <c r="B244" s="587" t="s">
        <v>424</v>
      </c>
      <c r="C244" s="636">
        <f t="shared" si="28"/>
        <v>3865.5865693972646</v>
      </c>
      <c r="D244" s="636">
        <f t="shared" si="28"/>
        <v>3115.884873998446</v>
      </c>
      <c r="E244" s="638">
        <f t="shared" si="29"/>
        <v>-749.70169539881863</v>
      </c>
    </row>
    <row r="245" spans="1:5" x14ac:dyDescent="0.2">
      <c r="A245" s="588">
        <v>7</v>
      </c>
      <c r="B245" s="587" t="s">
        <v>759</v>
      </c>
      <c r="C245" s="636">
        <f t="shared" si="28"/>
        <v>4147.1732636875195</v>
      </c>
      <c r="D245" s="636">
        <f t="shared" si="28"/>
        <v>3790.3208232394577</v>
      </c>
      <c r="E245" s="638">
        <f t="shared" si="29"/>
        <v>-356.85244044806177</v>
      </c>
    </row>
    <row r="246" spans="1:5" ht="25.5" x14ac:dyDescent="0.2">
      <c r="A246" s="588"/>
      <c r="B246" s="592" t="s">
        <v>832</v>
      </c>
      <c r="C246" s="637">
        <f t="shared" si="28"/>
        <v>4644.0432267794831</v>
      </c>
      <c r="D246" s="637">
        <f t="shared" si="28"/>
        <v>4862.5341093842344</v>
      </c>
      <c r="E246" s="639">
        <f t="shared" si="29"/>
        <v>218.49088260475128</v>
      </c>
    </row>
    <row r="247" spans="1:5" x14ac:dyDescent="0.2">
      <c r="A247" s="588"/>
      <c r="B247" s="592" t="s">
        <v>833</v>
      </c>
      <c r="C247" s="637">
        <f t="shared" si="28"/>
        <v>7379.5225444640791</v>
      </c>
      <c r="D247" s="637">
        <f t="shared" si="28"/>
        <v>7703.8870469809972</v>
      </c>
      <c r="E247" s="639">
        <f t="shared" si="29"/>
        <v>324.36450251691804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8623146.2433007173</v>
      </c>
      <c r="D251" s="622">
        <f>((IF((IF(D15=0,0,D26/D15)*D138)=0,0,D59/(IF(D15=0,0,D26/D15)*D138)))-(IF((IF(D17=0,0,D28/D17)*D140)=0,0,D61/(IF(D17=0,0,D28/D17)*D140))))*(IF(D17=0,0,D28/D17)*D140)</f>
        <v>10689889.975904956</v>
      </c>
      <c r="E251" s="622">
        <f>D251-C251</f>
        <v>2066743.7326042391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204962.09453986934</v>
      </c>
      <c r="D252" s="622">
        <f>IF(D231=0,0,(D228-D231)*D207)+IF(D243=0,0,(D240-D243)*D219)</f>
        <v>421878.64546921384</v>
      </c>
      <c r="E252" s="622">
        <f>D252-C252</f>
        <v>216916.55092934449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1149980.4394451212</v>
      </c>
      <c r="D253" s="622">
        <f>IF(D233=0,0,(D228-D233)*D209+IF(D221=0,0,(D240-D245)*D221))</f>
        <v>1570252.7549632548</v>
      </c>
      <c r="E253" s="622">
        <f>D253-C253</f>
        <v>420272.31551813358</v>
      </c>
    </row>
    <row r="254" spans="1:5" ht="15" customHeight="1" x14ac:dyDescent="0.2">
      <c r="A254" s="588"/>
      <c r="B254" s="592" t="s">
        <v>760</v>
      </c>
      <c r="C254" s="640">
        <f>+C251+C252+C253</f>
        <v>9978088.7772857081</v>
      </c>
      <c r="D254" s="640">
        <f>+D251+D252+D253</f>
        <v>12682021.376337426</v>
      </c>
      <c r="E254" s="640">
        <f>D254-C254</f>
        <v>2703932.5990517177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615524463</v>
      </c>
      <c r="D258" s="625">
        <f>+D44</f>
        <v>650427340</v>
      </c>
      <c r="E258" s="622">
        <f t="shared" ref="E258:E271" si="30">D258-C258</f>
        <v>34902877</v>
      </c>
    </row>
    <row r="259" spans="1:5" x14ac:dyDescent="0.2">
      <c r="A259" s="588">
        <v>2</v>
      </c>
      <c r="B259" s="587" t="s">
        <v>743</v>
      </c>
      <c r="C259" s="622">
        <f>+(C43-C76)</f>
        <v>244864399</v>
      </c>
      <c r="D259" s="625">
        <f>+(D43-D76)</f>
        <v>277755758</v>
      </c>
      <c r="E259" s="622">
        <f t="shared" si="30"/>
        <v>32891359</v>
      </c>
    </row>
    <row r="260" spans="1:5" x14ac:dyDescent="0.2">
      <c r="A260" s="588">
        <v>3</v>
      </c>
      <c r="B260" s="587" t="s">
        <v>747</v>
      </c>
      <c r="C260" s="622">
        <f>C195</f>
        <v>13431036</v>
      </c>
      <c r="D260" s="622">
        <f>D195</f>
        <v>14340976</v>
      </c>
      <c r="E260" s="622">
        <f t="shared" si="30"/>
        <v>909940</v>
      </c>
    </row>
    <row r="261" spans="1:5" x14ac:dyDescent="0.2">
      <c r="A261" s="588">
        <v>4</v>
      </c>
      <c r="B261" s="587" t="s">
        <v>748</v>
      </c>
      <c r="C261" s="622">
        <f>C188</f>
        <v>73534115</v>
      </c>
      <c r="D261" s="622">
        <f>D188</f>
        <v>76725360</v>
      </c>
      <c r="E261" s="622">
        <f t="shared" si="30"/>
        <v>3191245</v>
      </c>
    </row>
    <row r="262" spans="1:5" x14ac:dyDescent="0.2">
      <c r="A262" s="588">
        <v>5</v>
      </c>
      <c r="B262" s="587" t="s">
        <v>749</v>
      </c>
      <c r="C262" s="622">
        <f>C191</f>
        <v>6410112</v>
      </c>
      <c r="D262" s="622">
        <f>D191</f>
        <v>6702893</v>
      </c>
      <c r="E262" s="622">
        <f t="shared" si="30"/>
        <v>292781</v>
      </c>
    </row>
    <row r="263" spans="1:5" x14ac:dyDescent="0.2">
      <c r="A263" s="588">
        <v>6</v>
      </c>
      <c r="B263" s="587" t="s">
        <v>750</v>
      </c>
      <c r="C263" s="622">
        <f>+C259+C260+C261+C262</f>
        <v>338239662</v>
      </c>
      <c r="D263" s="622">
        <f>+D259+D260+D261+D262</f>
        <v>375524987</v>
      </c>
      <c r="E263" s="622">
        <f t="shared" si="30"/>
        <v>37285325</v>
      </c>
    </row>
    <row r="264" spans="1:5" x14ac:dyDescent="0.2">
      <c r="A264" s="588">
        <v>7</v>
      </c>
      <c r="B264" s="587" t="s">
        <v>655</v>
      </c>
      <c r="C264" s="622">
        <f>+C258-C263</f>
        <v>277284801</v>
      </c>
      <c r="D264" s="622">
        <f>+D258-D263</f>
        <v>274902353</v>
      </c>
      <c r="E264" s="622">
        <f t="shared" si="30"/>
        <v>-2382448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277284801</v>
      </c>
      <c r="D266" s="622">
        <f>+D264+D265</f>
        <v>274902353</v>
      </c>
      <c r="E266" s="641">
        <f t="shared" si="30"/>
        <v>-2382448</v>
      </c>
    </row>
    <row r="267" spans="1:5" x14ac:dyDescent="0.2">
      <c r="A267" s="588">
        <v>10</v>
      </c>
      <c r="B267" s="587" t="s">
        <v>838</v>
      </c>
      <c r="C267" s="642">
        <f>IF(C258=0,0,C266/C258)</f>
        <v>0.4504854277416428</v>
      </c>
      <c r="D267" s="642">
        <f>IF(D258=0,0,D266/D258)</f>
        <v>0.42264882807663035</v>
      </c>
      <c r="E267" s="643">
        <f t="shared" si="30"/>
        <v>-2.7836599665012451E-2</v>
      </c>
    </row>
    <row r="268" spans="1:5" x14ac:dyDescent="0.2">
      <c r="A268" s="588">
        <v>11</v>
      </c>
      <c r="B268" s="587" t="s">
        <v>717</v>
      </c>
      <c r="C268" s="622">
        <f>+C260*C267</f>
        <v>6050485.9974734029</v>
      </c>
      <c r="D268" s="644">
        <f>+D260*D267</f>
        <v>6061196.6998750819</v>
      </c>
      <c r="E268" s="622">
        <f t="shared" si="30"/>
        <v>10710.702401679009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22847559.473100714</v>
      </c>
      <c r="D269" s="644">
        <f>((D17+D18+D28+D29)*D267)-(D50+D51+D61+D62)</f>
        <v>21203043.883725122</v>
      </c>
      <c r="E269" s="622">
        <f t="shared" si="30"/>
        <v>-1644515.5893755928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28898045.470574118</v>
      </c>
      <c r="D271" s="622">
        <f>+D268+D269+D270</f>
        <v>27264240.583600204</v>
      </c>
      <c r="E271" s="625">
        <f t="shared" si="30"/>
        <v>-1633804.8869739138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0.79396316577177872</v>
      </c>
      <c r="D276" s="623">
        <f t="shared" si="31"/>
        <v>0.73864334948697685</v>
      </c>
      <c r="E276" s="650">
        <f t="shared" ref="E276:E284" si="32">D276-C276</f>
        <v>-5.531981628480187E-2</v>
      </c>
    </row>
    <row r="277" spans="1:5" x14ac:dyDescent="0.2">
      <c r="A277" s="588">
        <v>2</v>
      </c>
      <c r="B277" s="587" t="s">
        <v>636</v>
      </c>
      <c r="C277" s="623">
        <f t="shared" si="31"/>
        <v>0.49633639684148073</v>
      </c>
      <c r="D277" s="623">
        <f t="shared" si="31"/>
        <v>0.41419695364131148</v>
      </c>
      <c r="E277" s="650">
        <f t="shared" si="32"/>
        <v>-8.2139443200169249E-2</v>
      </c>
    </row>
    <row r="278" spans="1:5" x14ac:dyDescent="0.2">
      <c r="A278" s="588">
        <v>3</v>
      </c>
      <c r="B278" s="587" t="s">
        <v>778</v>
      </c>
      <c r="C278" s="623">
        <f t="shared" si="31"/>
        <v>0.27889823986827039</v>
      </c>
      <c r="D278" s="623">
        <f t="shared" si="31"/>
        <v>0.30012117331388871</v>
      </c>
      <c r="E278" s="650">
        <f t="shared" si="32"/>
        <v>2.1222933445618319E-2</v>
      </c>
    </row>
    <row r="279" spans="1:5" x14ac:dyDescent="0.2">
      <c r="A279" s="588">
        <v>4</v>
      </c>
      <c r="B279" s="587" t="s">
        <v>115</v>
      </c>
      <c r="C279" s="623">
        <f t="shared" si="31"/>
        <v>0.27856226251079108</v>
      </c>
      <c r="D279" s="623">
        <f t="shared" si="31"/>
        <v>0.29967944754605391</v>
      </c>
      <c r="E279" s="650">
        <f t="shared" si="32"/>
        <v>2.1117185035262831E-2</v>
      </c>
    </row>
    <row r="280" spans="1:5" x14ac:dyDescent="0.2">
      <c r="A280" s="588">
        <v>5</v>
      </c>
      <c r="B280" s="587" t="s">
        <v>744</v>
      </c>
      <c r="C280" s="623">
        <f t="shared" si="31"/>
        <v>0.28875435334865629</v>
      </c>
      <c r="D280" s="623">
        <f t="shared" si="31"/>
        <v>0.31720768910393704</v>
      </c>
      <c r="E280" s="650">
        <f t="shared" si="32"/>
        <v>2.8453335755280751E-2</v>
      </c>
    </row>
    <row r="281" spans="1:5" x14ac:dyDescent="0.2">
      <c r="A281" s="588">
        <v>6</v>
      </c>
      <c r="B281" s="587" t="s">
        <v>424</v>
      </c>
      <c r="C281" s="623">
        <f t="shared" si="31"/>
        <v>0.43683897850993969</v>
      </c>
      <c r="D281" s="623">
        <f t="shared" si="31"/>
        <v>0.38738287960987761</v>
      </c>
      <c r="E281" s="650">
        <f t="shared" si="32"/>
        <v>-4.9456098900062084E-2</v>
      </c>
    </row>
    <row r="282" spans="1:5" x14ac:dyDescent="0.2">
      <c r="A282" s="588">
        <v>7</v>
      </c>
      <c r="B282" s="587" t="s">
        <v>759</v>
      </c>
      <c r="C282" s="623">
        <f t="shared" si="31"/>
        <v>0.26055769751356661</v>
      </c>
      <c r="D282" s="623">
        <f t="shared" si="31"/>
        <v>0.16296321984859893</v>
      </c>
      <c r="E282" s="650">
        <f t="shared" si="32"/>
        <v>-9.7594477664967677E-2</v>
      </c>
    </row>
    <row r="283" spans="1:5" ht="29.25" customHeight="1" x14ac:dyDescent="0.2">
      <c r="A283" s="588"/>
      <c r="B283" s="592" t="s">
        <v>845</v>
      </c>
      <c r="C283" s="651">
        <f t="shared" si="31"/>
        <v>0.44540323052280684</v>
      </c>
      <c r="D283" s="651">
        <f t="shared" si="31"/>
        <v>0.38747585055861433</v>
      </c>
      <c r="E283" s="652">
        <f t="shared" si="32"/>
        <v>-5.7927379964192505E-2</v>
      </c>
    </row>
    <row r="284" spans="1:5" x14ac:dyDescent="0.2">
      <c r="A284" s="588"/>
      <c r="B284" s="592" t="s">
        <v>846</v>
      </c>
      <c r="C284" s="651">
        <f t="shared" si="31"/>
        <v>0.54963823048544025</v>
      </c>
      <c r="D284" s="651">
        <f t="shared" si="31"/>
        <v>0.48835122873280279</v>
      </c>
      <c r="E284" s="652">
        <f t="shared" si="32"/>
        <v>-6.128700175263746E-2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0.55708855175584449</v>
      </c>
      <c r="D287" s="623">
        <f t="shared" si="33"/>
        <v>0.56313017926776809</v>
      </c>
      <c r="E287" s="650">
        <f t="shared" ref="E287:E295" si="34">D287-C287</f>
        <v>6.0416275119236085E-3</v>
      </c>
    </row>
    <row r="288" spans="1:5" x14ac:dyDescent="0.2">
      <c r="A288" s="588">
        <v>2</v>
      </c>
      <c r="B288" s="587" t="s">
        <v>636</v>
      </c>
      <c r="C288" s="623">
        <f t="shared" si="33"/>
        <v>0.24523479729299466</v>
      </c>
      <c r="D288" s="623">
        <f t="shared" si="33"/>
        <v>0.24037092960584089</v>
      </c>
      <c r="E288" s="650">
        <f t="shared" si="34"/>
        <v>-4.8638676871537723E-3</v>
      </c>
    </row>
    <row r="289" spans="1:5" x14ac:dyDescent="0.2">
      <c r="A289" s="588">
        <v>3</v>
      </c>
      <c r="B289" s="587" t="s">
        <v>778</v>
      </c>
      <c r="C289" s="623">
        <f t="shared" si="33"/>
        <v>0.22357294942690775</v>
      </c>
      <c r="D289" s="623">
        <f t="shared" si="33"/>
        <v>0.23303280108945121</v>
      </c>
      <c r="E289" s="650">
        <f t="shared" si="34"/>
        <v>9.4598516625434559E-3</v>
      </c>
    </row>
    <row r="290" spans="1:5" x14ac:dyDescent="0.2">
      <c r="A290" s="588">
        <v>4</v>
      </c>
      <c r="B290" s="587" t="s">
        <v>115</v>
      </c>
      <c r="C290" s="623">
        <f t="shared" si="33"/>
        <v>0.22353022746429699</v>
      </c>
      <c r="D290" s="623">
        <f t="shared" si="33"/>
        <v>0.23251340570572135</v>
      </c>
      <c r="E290" s="650">
        <f t="shared" si="34"/>
        <v>8.9831782414243611E-3</v>
      </c>
    </row>
    <row r="291" spans="1:5" x14ac:dyDescent="0.2">
      <c r="A291" s="588">
        <v>5</v>
      </c>
      <c r="B291" s="587" t="s">
        <v>744</v>
      </c>
      <c r="C291" s="623">
        <f t="shared" si="33"/>
        <v>0.22613384078655249</v>
      </c>
      <c r="D291" s="623">
        <f t="shared" si="33"/>
        <v>0.25510187033561543</v>
      </c>
      <c r="E291" s="650">
        <f t="shared" si="34"/>
        <v>2.896802954906294E-2</v>
      </c>
    </row>
    <row r="292" spans="1:5" x14ac:dyDescent="0.2">
      <c r="A292" s="588">
        <v>6</v>
      </c>
      <c r="B292" s="587" t="s">
        <v>424</v>
      </c>
      <c r="C292" s="623">
        <f t="shared" si="33"/>
        <v>0.27221203302135377</v>
      </c>
      <c r="D292" s="623">
        <f t="shared" si="33"/>
        <v>0.24950471709378583</v>
      </c>
      <c r="E292" s="650">
        <f t="shared" si="34"/>
        <v>-2.2707315927567945E-2</v>
      </c>
    </row>
    <row r="293" spans="1:5" x14ac:dyDescent="0.2">
      <c r="A293" s="588">
        <v>7</v>
      </c>
      <c r="B293" s="587" t="s">
        <v>759</v>
      </c>
      <c r="C293" s="623">
        <f t="shared" si="33"/>
        <v>0.18965959883119132</v>
      </c>
      <c r="D293" s="623">
        <f t="shared" si="33"/>
        <v>0.1652472318006977</v>
      </c>
      <c r="E293" s="650">
        <f t="shared" si="34"/>
        <v>-2.4412367030493626E-2</v>
      </c>
    </row>
    <row r="294" spans="1:5" ht="29.25" customHeight="1" x14ac:dyDescent="0.2">
      <c r="A294" s="588"/>
      <c r="B294" s="592" t="s">
        <v>848</v>
      </c>
      <c r="C294" s="651">
        <f t="shared" si="33"/>
        <v>0.23843369406872925</v>
      </c>
      <c r="D294" s="651">
        <f t="shared" si="33"/>
        <v>0.23785734219673479</v>
      </c>
      <c r="E294" s="652">
        <f t="shared" si="34"/>
        <v>-5.7635187199445159E-4</v>
      </c>
    </row>
    <row r="295" spans="1:5" x14ac:dyDescent="0.2">
      <c r="A295" s="588"/>
      <c r="B295" s="592" t="s">
        <v>849</v>
      </c>
      <c r="C295" s="651">
        <f t="shared" si="33"/>
        <v>0.38825392434261136</v>
      </c>
      <c r="D295" s="651">
        <f t="shared" si="33"/>
        <v>0.38331338990290553</v>
      </c>
      <c r="E295" s="652">
        <f t="shared" si="34"/>
        <v>-4.9405344397058237E-3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277284802</v>
      </c>
      <c r="D301" s="590">
        <f>+D48+D47+D50+D51+D52+D59+D58+D61+D62+D63</f>
        <v>274902353</v>
      </c>
      <c r="E301" s="590">
        <f>D301-C301</f>
        <v>-2382449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277284802</v>
      </c>
      <c r="D303" s="593">
        <f>+D301+D302</f>
        <v>274902353</v>
      </c>
      <c r="E303" s="593">
        <f>D303-C303</f>
        <v>-2382449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5934953</v>
      </c>
      <c r="D305" s="654">
        <v>-6893526</v>
      </c>
      <c r="E305" s="655">
        <f>D305-C305</f>
        <v>-12828479</v>
      </c>
    </row>
    <row r="306" spans="1:5" x14ac:dyDescent="0.2">
      <c r="A306" s="588">
        <v>4</v>
      </c>
      <c r="B306" s="592" t="s">
        <v>856</v>
      </c>
      <c r="C306" s="593">
        <f>+C303+C305+C194+C190-C191</f>
        <v>295878280</v>
      </c>
      <c r="D306" s="593">
        <f>+D303+D305</f>
        <v>268008827</v>
      </c>
      <c r="E306" s="656">
        <f>D306-C306</f>
        <v>-27869453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283219755</v>
      </c>
      <c r="D308" s="589">
        <v>268008827</v>
      </c>
      <c r="E308" s="590">
        <f>D308-C308</f>
        <v>-15210928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12658525</v>
      </c>
      <c r="D310" s="658">
        <f>D306-D308</f>
        <v>0</v>
      </c>
      <c r="E310" s="656">
        <f>D310-C310</f>
        <v>-12658525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615524463</v>
      </c>
      <c r="D314" s="590">
        <f>+D14+D15+D16+D19+D25+D26+D27+D30</f>
        <v>650427340</v>
      </c>
      <c r="E314" s="590">
        <f>D314-C314</f>
        <v>34902877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615524463</v>
      </c>
      <c r="D316" s="657">
        <f>D314+D315</f>
        <v>650427340</v>
      </c>
      <c r="E316" s="593">
        <f>D316-C316</f>
        <v>34902877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615524464</v>
      </c>
      <c r="D318" s="589">
        <v>650427340</v>
      </c>
      <c r="E318" s="590">
        <f>D318-C318</f>
        <v>34902876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-1</v>
      </c>
      <c r="D320" s="657">
        <f>D316-D318</f>
        <v>0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13431036</v>
      </c>
      <c r="D324" s="589">
        <f>+D193+D194</f>
        <v>14340976</v>
      </c>
      <c r="E324" s="590">
        <f>D324-C324</f>
        <v>909940</v>
      </c>
    </row>
    <row r="325" spans="1:5" x14ac:dyDescent="0.2">
      <c r="A325" s="588">
        <v>2</v>
      </c>
      <c r="B325" s="587" t="s">
        <v>866</v>
      </c>
      <c r="C325" s="589">
        <v>71577</v>
      </c>
      <c r="D325" s="589">
        <v>174038</v>
      </c>
      <c r="E325" s="590">
        <f>D325-C325</f>
        <v>102461</v>
      </c>
    </row>
    <row r="326" spans="1:5" x14ac:dyDescent="0.2">
      <c r="A326" s="588"/>
      <c r="B326" s="592" t="s">
        <v>867</v>
      </c>
      <c r="C326" s="657">
        <f>C324+C325</f>
        <v>13502613</v>
      </c>
      <c r="D326" s="657">
        <f>D324+D325</f>
        <v>14515014</v>
      </c>
      <c r="E326" s="593">
        <f>D326-C326</f>
        <v>1012401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13502614</v>
      </c>
      <c r="D328" s="589">
        <v>14515014</v>
      </c>
      <c r="E328" s="590">
        <f>D328-C328</f>
        <v>1012400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-1</v>
      </c>
      <c r="D330" s="657">
        <f>D326-D328</f>
        <v>0</v>
      </c>
      <c r="E330" s="593">
        <f>D330-C330</f>
        <v>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69969354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131136626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40111142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39100309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1010833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2360285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3027720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173608053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243577407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181935829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131894352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85901598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83926391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1975207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7118154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11449862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224914104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406849933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251905183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398522157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650427340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51682398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54316391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12038203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11717559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320644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914334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493407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67268928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118951326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102453556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31703568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20017890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19514011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503879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1776013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1892058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53497471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155951027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154135954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120766399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274902353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3554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5244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2409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2341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68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189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132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7842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11396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1.2533000000000001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1.4244000000000001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1.0555388542963886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1.0599000000000001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0.90539999999999998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0.7319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0.99509999999999998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1.2943988523335885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1.2815816075816078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226678237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149952877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76725360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0.33847695753871598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10885970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6702893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5518573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8822403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14340976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7202302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249935251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274902353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274902353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-6893526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268008827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268008827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650427340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650427340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650427340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14340976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174038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14515014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14515014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2085</v>
      </c>
      <c r="D12" s="185">
        <v>2371</v>
      </c>
      <c r="E12" s="185">
        <f>+D12-C12</f>
        <v>286</v>
      </c>
      <c r="F12" s="77">
        <f>IF(C12=0,0,+E12/C12)</f>
        <v>0.13717026378896882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1845</v>
      </c>
      <c r="D13" s="185">
        <v>2080</v>
      </c>
      <c r="E13" s="185">
        <f>+D13-C13</f>
        <v>235</v>
      </c>
      <c r="F13" s="77">
        <f>IF(C13=0,0,+E13/C13)</f>
        <v>0.12737127371273713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5341790</v>
      </c>
      <c r="D15" s="76">
        <v>5518573</v>
      </c>
      <c r="E15" s="76">
        <f>+D15-C15</f>
        <v>176783</v>
      </c>
      <c r="F15" s="77">
        <f>IF(C15=0,0,+E15/C15)</f>
        <v>3.3094337291432276E-2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2895.2791327913278</v>
      </c>
      <c r="D16" s="79">
        <f>IF(D13=0,0,+D15/+D13)</f>
        <v>2653.1600961538461</v>
      </c>
      <c r="E16" s="79">
        <f>+D16-C16</f>
        <v>-242.11903663748171</v>
      </c>
      <c r="F16" s="80">
        <f>IF(C16=0,0,+E16/C16)</f>
        <v>-8.3625455623705491E-2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0.41379899999999997</v>
      </c>
      <c r="D18" s="704">
        <v>0.42394799999999999</v>
      </c>
      <c r="E18" s="704">
        <f>+D18-C18</f>
        <v>1.0149000000000019E-2</v>
      </c>
      <c r="F18" s="77">
        <f>IF(C18=0,0,+E18/C18)</f>
        <v>2.4526400498792941E-2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2210427.3602100001</v>
      </c>
      <c r="D19" s="79">
        <f>+D15*D18</f>
        <v>2339587.9862039997</v>
      </c>
      <c r="E19" s="79">
        <f>+D19-C19</f>
        <v>129160.62599399965</v>
      </c>
      <c r="F19" s="80">
        <f>IF(C19=0,0,+E19/C19)</f>
        <v>5.8432422760876811E-2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1198.0636098699188</v>
      </c>
      <c r="D20" s="79">
        <f>IF(D13=0,0,+D19/D13)</f>
        <v>1124.8019164442305</v>
      </c>
      <c r="E20" s="79">
        <f>+D20-C20</f>
        <v>-73.261693425688236</v>
      </c>
      <c r="F20" s="80">
        <f>IF(C20=0,0,+E20/C20)</f>
        <v>-6.1150086541433904E-2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1576229</v>
      </c>
      <c r="D22" s="76">
        <v>1160267</v>
      </c>
      <c r="E22" s="76">
        <f>+D22-C22</f>
        <v>-415962</v>
      </c>
      <c r="F22" s="77">
        <f>IF(C22=0,0,+E22/C22)</f>
        <v>-0.26389693375772177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2183751</v>
      </c>
      <c r="D23" s="185">
        <v>2401028</v>
      </c>
      <c r="E23" s="185">
        <f>+D23-C23</f>
        <v>217277</v>
      </c>
      <c r="F23" s="77">
        <f>IF(C23=0,0,+E23/C23)</f>
        <v>9.9497149629238862E-2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1581810</v>
      </c>
      <c r="D24" s="185">
        <v>1957278</v>
      </c>
      <c r="E24" s="185">
        <f>+D24-C24</f>
        <v>375468</v>
      </c>
      <c r="F24" s="77">
        <f>IF(C24=0,0,+E24/C24)</f>
        <v>0.23736605534166555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5341790</v>
      </c>
      <c r="D25" s="79">
        <f>+D22+D23+D24</f>
        <v>5518573</v>
      </c>
      <c r="E25" s="79">
        <f>+E22+E23+E24</f>
        <v>176783</v>
      </c>
      <c r="F25" s="80">
        <f>IF(C25=0,0,+E25/C25)</f>
        <v>3.3094337291432276E-2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1821</v>
      </c>
      <c r="D27" s="185">
        <v>1883</v>
      </c>
      <c r="E27" s="185">
        <f>+D27-C27</f>
        <v>62</v>
      </c>
      <c r="F27" s="77">
        <f>IF(C27=0,0,+E27/C27)</f>
        <v>3.4047226798462386E-2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426</v>
      </c>
      <c r="D28" s="185">
        <v>436</v>
      </c>
      <c r="E28" s="185">
        <f>+D28-C28</f>
        <v>10</v>
      </c>
      <c r="F28" s="77">
        <f>IF(C28=0,0,+E28/C28)</f>
        <v>2.3474178403755867E-2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1835</v>
      </c>
      <c r="D29" s="185">
        <v>2246</v>
      </c>
      <c r="E29" s="185">
        <f>+D29-C29</f>
        <v>411</v>
      </c>
      <c r="F29" s="77">
        <f>IF(C29=0,0,+E29/C29)</f>
        <v>0.22397820163487739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4499</v>
      </c>
      <c r="D30" s="185">
        <v>5168</v>
      </c>
      <c r="E30" s="185">
        <f>+D30-C30</f>
        <v>669</v>
      </c>
      <c r="F30" s="77">
        <f>IF(C30=0,0,+E30/C30)</f>
        <v>0.1486997110468993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1239881</v>
      </c>
      <c r="D33" s="76">
        <v>1289352</v>
      </c>
      <c r="E33" s="76">
        <f>+D33-C33</f>
        <v>49471</v>
      </c>
      <c r="F33" s="77">
        <f>IF(C33=0,0,+E33/C33)</f>
        <v>3.9899796835341457E-2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2103319</v>
      </c>
      <c r="D34" s="185">
        <v>2338581</v>
      </c>
      <c r="E34" s="185">
        <f>+D34-C34</f>
        <v>235262</v>
      </c>
      <c r="F34" s="77">
        <f>IF(C34=0,0,+E34/C34)</f>
        <v>0.11185274321203774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4746046</v>
      </c>
      <c r="D35" s="185">
        <v>5194470</v>
      </c>
      <c r="E35" s="185">
        <f>+D35-C35</f>
        <v>448424</v>
      </c>
      <c r="F35" s="77">
        <f>IF(C35=0,0,+E35/C35)</f>
        <v>9.4483702854966004E-2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8089246</v>
      </c>
      <c r="D36" s="79">
        <f>+D33+D34+D35</f>
        <v>8822403</v>
      </c>
      <c r="E36" s="79">
        <f>+E33+E34+E35</f>
        <v>733157</v>
      </c>
      <c r="F36" s="80">
        <f>IF(C36=0,0,+E36/C36)</f>
        <v>9.0633539887401124E-2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5341790</v>
      </c>
      <c r="D39" s="76">
        <f>+D25</f>
        <v>5518573</v>
      </c>
      <c r="E39" s="76">
        <f>+D39-C39</f>
        <v>176783</v>
      </c>
      <c r="F39" s="77">
        <f>IF(C39=0,0,+E39/C39)</f>
        <v>3.3094337291432276E-2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8089246</v>
      </c>
      <c r="D40" s="185">
        <f>+D36</f>
        <v>8822403</v>
      </c>
      <c r="E40" s="185">
        <f>+D40-C40</f>
        <v>733157</v>
      </c>
      <c r="F40" s="77">
        <f>IF(C40=0,0,+E40/C40)</f>
        <v>9.0633539887401124E-2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13431036</v>
      </c>
      <c r="D41" s="79">
        <f>+D39+D40</f>
        <v>14340976</v>
      </c>
      <c r="E41" s="79">
        <f>+E39+E40</f>
        <v>909940</v>
      </c>
      <c r="F41" s="80">
        <f>IF(C41=0,0,+E41/C41)</f>
        <v>6.7749055247860249E-2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2816110</v>
      </c>
      <c r="D43" s="76">
        <f t="shared" si="0"/>
        <v>2449619</v>
      </c>
      <c r="E43" s="76">
        <f>+D43-C43</f>
        <v>-366491</v>
      </c>
      <c r="F43" s="77">
        <f>IF(C43=0,0,+E43/C43)</f>
        <v>-0.13014086807688621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4287070</v>
      </c>
      <c r="D44" s="185">
        <f t="shared" si="0"/>
        <v>4739609</v>
      </c>
      <c r="E44" s="185">
        <f>+D44-C44</f>
        <v>452539</v>
      </c>
      <c r="F44" s="77">
        <f>IF(C44=0,0,+E44/C44)</f>
        <v>0.10555904148987537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6327856</v>
      </c>
      <c r="D45" s="185">
        <f t="shared" si="0"/>
        <v>7151748</v>
      </c>
      <c r="E45" s="185">
        <f>+D45-C45</f>
        <v>823892</v>
      </c>
      <c r="F45" s="77">
        <f>IF(C45=0,0,+E45/C45)</f>
        <v>0.13020081367211897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13431036</v>
      </c>
      <c r="D46" s="79">
        <f>+D43+D44+D45</f>
        <v>14340976</v>
      </c>
      <c r="E46" s="79">
        <f>+E43+E44+E45</f>
        <v>909940</v>
      </c>
      <c r="F46" s="80">
        <f>IF(C46=0,0,+E46/C46)</f>
        <v>6.7749055247860249E-2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224371597</v>
      </c>
      <c r="D15" s="76">
        <v>226678237</v>
      </c>
      <c r="E15" s="76">
        <f>+D15-C15</f>
        <v>2306640</v>
      </c>
      <c r="F15" s="77">
        <f>IF(C15=0,0,E15/C15)</f>
        <v>1.0280445612730563E-2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73534115</v>
      </c>
      <c r="D17" s="76">
        <v>76725360</v>
      </c>
      <c r="E17" s="76">
        <f>+D17-C17</f>
        <v>3191245</v>
      </c>
      <c r="F17" s="77">
        <f>IF(C17=0,0,E17/C17)</f>
        <v>4.3398156080344474E-2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150837482</v>
      </c>
      <c r="D19" s="79">
        <f>+D15-D17</f>
        <v>149952877</v>
      </c>
      <c r="E19" s="79">
        <f>+D19-C19</f>
        <v>-884605</v>
      </c>
      <c r="F19" s="80">
        <f>IF(C19=0,0,E19/C19)</f>
        <v>-5.864623224086968E-3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0.32773361683564611</v>
      </c>
      <c r="D21" s="720">
        <f>IF(D15=0,0,D17/D15)</f>
        <v>0.33847695753871598</v>
      </c>
      <c r="E21" s="720">
        <f>+D21-C21</f>
        <v>1.074334070306987E-2</v>
      </c>
      <c r="F21" s="80">
        <f>IF(C21=0,0,E21/C21)</f>
        <v>3.2780710159670642E-2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244179796</v>
      </c>
      <c r="D10" s="744">
        <v>237352780</v>
      </c>
      <c r="E10" s="744">
        <v>243577407</v>
      </c>
    </row>
    <row r="11" spans="1:6" ht="26.1" customHeight="1" x14ac:dyDescent="0.25">
      <c r="A11" s="742">
        <v>2</v>
      </c>
      <c r="B11" s="743" t="s">
        <v>933</v>
      </c>
      <c r="C11" s="744">
        <v>359880789</v>
      </c>
      <c r="D11" s="744">
        <v>378171683</v>
      </c>
      <c r="E11" s="744">
        <v>406849933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604060585</v>
      </c>
      <c r="D12" s="744">
        <f>+D11+D10</f>
        <v>615524463</v>
      </c>
      <c r="E12" s="744">
        <f>+E11+E10</f>
        <v>650427340</v>
      </c>
    </row>
    <row r="13" spans="1:6" ht="26.1" customHeight="1" x14ac:dyDescent="0.25">
      <c r="A13" s="742">
        <v>4</v>
      </c>
      <c r="B13" s="743" t="s">
        <v>507</v>
      </c>
      <c r="C13" s="744">
        <v>271933218</v>
      </c>
      <c r="D13" s="744">
        <v>283219755</v>
      </c>
      <c r="E13" s="744">
        <v>268008827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252073735</v>
      </c>
      <c r="D16" s="744">
        <v>264111731</v>
      </c>
      <c r="E16" s="744">
        <v>249935251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49654</v>
      </c>
      <c r="D19" s="747">
        <v>49361</v>
      </c>
      <c r="E19" s="747">
        <v>48465</v>
      </c>
    </row>
    <row r="20" spans="1:5" ht="26.1" customHeight="1" x14ac:dyDescent="0.25">
      <c r="A20" s="742">
        <v>2</v>
      </c>
      <c r="B20" s="743" t="s">
        <v>381</v>
      </c>
      <c r="C20" s="748">
        <v>11999</v>
      </c>
      <c r="D20" s="748">
        <v>11911</v>
      </c>
      <c r="E20" s="748">
        <v>11396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4.1381781815151264</v>
      </c>
      <c r="D21" s="749">
        <f>IF(D20=0,0,+D19/D20)</f>
        <v>4.1441524641088066</v>
      </c>
      <c r="E21" s="749">
        <f>IF(E20=0,0,+E19/E20)</f>
        <v>4.2528080028080026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122835.8151613412</v>
      </c>
      <c r="D22" s="748">
        <f>IF(D10=0,0,D19*(D12/D10))</f>
        <v>128007.3611025032</v>
      </c>
      <c r="E22" s="748">
        <f>IF(E10=0,0,E19*(E12/E10))</f>
        <v>129416.60485407826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29683.549082066562</v>
      </c>
      <c r="D23" s="748">
        <f>IF(D10=0,0,D20*(D12/D10))</f>
        <v>30888.670774334303</v>
      </c>
      <c r="E23" s="748">
        <f>IF(E10=0,0,E20*(E12/E10))</f>
        <v>30430.859979718891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1.2820382531877657</v>
      </c>
      <c r="D26" s="750">
        <v>1.2504638653345648</v>
      </c>
      <c r="E26" s="750">
        <v>1.2815816075816078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63658.327423785318</v>
      </c>
      <c r="D27" s="748">
        <f>D19*D26</f>
        <v>61724.146856779451</v>
      </c>
      <c r="E27" s="748">
        <f>E19*E26</f>
        <v>62111.85261144262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15383.177</v>
      </c>
      <c r="D28" s="748">
        <f>D20*D26</f>
        <v>14894.275100000001</v>
      </c>
      <c r="E28" s="748">
        <f>E20*E26</f>
        <v>14604.904000000002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157480.21389834114</v>
      </c>
      <c r="D29" s="748">
        <f>D22*D26</f>
        <v>160068.57955551357</v>
      </c>
      <c r="E29" s="748">
        <f>E22*E26</f>
        <v>165857.94049664334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38055.44541358592</v>
      </c>
      <c r="D30" s="748">
        <f>D23*D26</f>
        <v>38625.166651520878</v>
      </c>
      <c r="E30" s="748">
        <f>E23*E26</f>
        <v>38999.630452898949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12165.396241994602</v>
      </c>
      <c r="D33" s="744">
        <f>IF(D19=0,0,D12/D19)</f>
        <v>12469.85399404388</v>
      </c>
      <c r="E33" s="744">
        <f>IF(E19=0,0,E12/E19)</f>
        <v>13420.55792840194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50342.577298108175</v>
      </c>
      <c r="D34" s="744">
        <f>IF(D20=0,0,D12/D20)</f>
        <v>51676.976156493998</v>
      </c>
      <c r="E34" s="744">
        <f>IF(E20=0,0,E12/E20)</f>
        <v>57075.056160056163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4917.6258911668747</v>
      </c>
      <c r="D35" s="744">
        <f>IF(D22=0,0,D12/D22)</f>
        <v>4808.5083365409937</v>
      </c>
      <c r="E35" s="744">
        <f>IF(E22=0,0,E12/E22)</f>
        <v>5025.8414732281035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20350.012167680638</v>
      </c>
      <c r="D36" s="744">
        <f>IF(D23=0,0,D12/D23)</f>
        <v>19927.191671564102</v>
      </c>
      <c r="E36" s="744">
        <f>IF(E23=0,0,E12/E23)</f>
        <v>21373.938838188838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3835.787176349289</v>
      </c>
      <c r="D37" s="744">
        <f>IF(D29=0,0,D12/D29)</f>
        <v>3845.3796785678933</v>
      </c>
      <c r="E37" s="744">
        <f>IF(E29=0,0,E12/E29)</f>
        <v>3921.5930093691441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15873.170802104141</v>
      </c>
      <c r="D38" s="744">
        <f>IF(D30=0,0,D12/D30)</f>
        <v>15935.839670371068</v>
      </c>
      <c r="E38" s="744">
        <f>IF(E30=0,0,E12/E30)</f>
        <v>16677.782134001016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1987.8550541572674</v>
      </c>
      <c r="D39" s="744">
        <f>IF(D22=0,0,D10/D22)</f>
        <v>1854.2119605913706</v>
      </c>
      <c r="E39" s="744">
        <f>IF(E22=0,0,E10/E22)</f>
        <v>1882.1186606976903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8226.098413128173</v>
      </c>
      <c r="D40" s="744">
        <f>IF(D23=0,0,D10/D23)</f>
        <v>7684.1370654647508</v>
      </c>
      <c r="E40" s="744">
        <f>IF(E23=0,0,E10/E23)</f>
        <v>8004.2893024494169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5476.5621702179078</v>
      </c>
      <c r="D43" s="744">
        <f>IF(D19=0,0,D13/D19)</f>
        <v>5737.723202528312</v>
      </c>
      <c r="E43" s="744">
        <f>IF(E19=0,0,E13/E19)</f>
        <v>5529.9458784689987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22662.990082506876</v>
      </c>
      <c r="D44" s="744">
        <f>IF(D20=0,0,D13/D20)</f>
        <v>23777.999748131981</v>
      </c>
      <c r="E44" s="744">
        <f>IF(E20=0,0,E13/E20)</f>
        <v>23517.798087048086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2213.7942231491993</v>
      </c>
      <c r="D45" s="744">
        <f>IF(D22=0,0,D13/D22)</f>
        <v>2212.5270965722734</v>
      </c>
      <c r="E45" s="744">
        <f>IF(E22=0,0,E13/E22)</f>
        <v>2070.8998455197407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9161.0749526002455</v>
      </c>
      <c r="D46" s="744">
        <f>IF(D23=0,0,D13/D23)</f>
        <v>9169.049619167492</v>
      </c>
      <c r="E46" s="744">
        <f>IF(E23=0,0,E13/E23)</f>
        <v>8807.1394360402082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1726.7770424514547</v>
      </c>
      <c r="D47" s="744">
        <f>IF(D29=0,0,D13/D29)</f>
        <v>1769.3650795581416</v>
      </c>
      <c r="E47" s="744">
        <f>IF(E29=0,0,E13/E29)</f>
        <v>1615.8938558954553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7145.7110814138296</v>
      </c>
      <c r="D48" s="744">
        <f>IF(D30=0,0,D13/D30)</f>
        <v>7332.5186543589489</v>
      </c>
      <c r="E48" s="744">
        <f>IF(E30=0,0,E13/E30)</f>
        <v>6872.0863220404735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5076.6048052523465</v>
      </c>
      <c r="D51" s="744">
        <f>IF(D19=0,0,D16/D19)</f>
        <v>5350.6154859099288</v>
      </c>
      <c r="E51" s="744">
        <f>IF(E19=0,0,E16/E19)</f>
        <v>5157.0257092747343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21007.895241270107</v>
      </c>
      <c r="D52" s="744">
        <f>IF(D20=0,0,D16/D20)</f>
        <v>22173.766350432372</v>
      </c>
      <c r="E52" s="744">
        <f>IF(E20=0,0,E16/E20)</f>
        <v>21931.840207090208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2052.1192021146976</v>
      </c>
      <c r="D53" s="744">
        <f>IF(D22=0,0,D16/D22)</f>
        <v>2063.2542435470555</v>
      </c>
      <c r="E53" s="744">
        <f>IF(E22=0,0,E16/E22)</f>
        <v>1931.2456178386901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8492.0349080592714</v>
      </c>
      <c r="D54" s="744">
        <f>IF(D23=0,0,D16/D23)</f>
        <v>8550.4401574784824</v>
      </c>
      <c r="E54" s="744">
        <f>IF(E23=0,0,E16/E23)</f>
        <v>8213.2168189322656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1600.6692444723387</v>
      </c>
      <c r="D55" s="744">
        <f>IF(D29=0,0,D16/D29)</f>
        <v>1649.9910959002614</v>
      </c>
      <c r="E55" s="744">
        <f>IF(E29=0,0,E16/E29)</f>
        <v>1506.9236374911952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6623.8545432977335</v>
      </c>
      <c r="D56" s="744">
        <f>IF(D30=0,0,D16/D30)</f>
        <v>6837.8146658326586</v>
      </c>
      <c r="E56" s="744">
        <f>IF(E30=0,0,E16/E30)</f>
        <v>6408.6569051431006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39914015</v>
      </c>
      <c r="D59" s="752">
        <v>41141324</v>
      </c>
      <c r="E59" s="752">
        <v>40513043</v>
      </c>
    </row>
    <row r="60" spans="1:6" ht="26.1" customHeight="1" x14ac:dyDescent="0.25">
      <c r="A60" s="742">
        <v>2</v>
      </c>
      <c r="B60" s="743" t="s">
        <v>969</v>
      </c>
      <c r="C60" s="752">
        <v>7696604</v>
      </c>
      <c r="D60" s="752">
        <v>9543566</v>
      </c>
      <c r="E60" s="752">
        <v>6901497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47610619</v>
      </c>
      <c r="D61" s="755">
        <f>D59+D60</f>
        <v>50684890</v>
      </c>
      <c r="E61" s="755">
        <f>E59+E60</f>
        <v>47414540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11095920</v>
      </c>
      <c r="D64" s="744">
        <v>10294416</v>
      </c>
      <c r="E64" s="752">
        <v>12360010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1266332</v>
      </c>
      <c r="D65" s="752">
        <v>1260567</v>
      </c>
      <c r="E65" s="752">
        <v>2034733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12362252</v>
      </c>
      <c r="D66" s="757">
        <f>D64+D65</f>
        <v>11554983</v>
      </c>
      <c r="E66" s="757">
        <f>E64+E65</f>
        <v>14394743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57392944</v>
      </c>
      <c r="D69" s="752">
        <v>60931073</v>
      </c>
      <c r="E69" s="752">
        <v>62652464</v>
      </c>
    </row>
    <row r="70" spans="1:6" ht="26.1" customHeight="1" x14ac:dyDescent="0.25">
      <c r="A70" s="742">
        <v>2</v>
      </c>
      <c r="B70" s="743" t="s">
        <v>977</v>
      </c>
      <c r="C70" s="752">
        <v>16692410</v>
      </c>
      <c r="D70" s="752">
        <v>21204157</v>
      </c>
      <c r="E70" s="752">
        <v>17944384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74085354</v>
      </c>
      <c r="D71" s="755">
        <f>D69+D70</f>
        <v>82135230</v>
      </c>
      <c r="E71" s="755">
        <f>E69+E70</f>
        <v>80596848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108402879</v>
      </c>
      <c r="D75" s="744">
        <f t="shared" si="0"/>
        <v>112366813</v>
      </c>
      <c r="E75" s="744">
        <f t="shared" si="0"/>
        <v>115525517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25655346</v>
      </c>
      <c r="D76" s="744">
        <f t="shared" si="0"/>
        <v>32008290</v>
      </c>
      <c r="E76" s="744">
        <f t="shared" si="0"/>
        <v>26880614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134058225</v>
      </c>
      <c r="D77" s="757">
        <f>D75+D76</f>
        <v>144375103</v>
      </c>
      <c r="E77" s="757">
        <f>E75+E76</f>
        <v>142406131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455.6</v>
      </c>
      <c r="D80" s="749">
        <v>460</v>
      </c>
      <c r="E80" s="749">
        <v>442.7</v>
      </c>
    </row>
    <row r="81" spans="1:5" ht="26.1" customHeight="1" x14ac:dyDescent="0.25">
      <c r="A81" s="742">
        <v>2</v>
      </c>
      <c r="B81" s="743" t="s">
        <v>617</v>
      </c>
      <c r="C81" s="749">
        <v>36.299999999999997</v>
      </c>
      <c r="D81" s="749">
        <v>37</v>
      </c>
      <c r="E81" s="749">
        <v>44</v>
      </c>
    </row>
    <row r="82" spans="1:5" ht="26.1" customHeight="1" x14ac:dyDescent="0.25">
      <c r="A82" s="742">
        <v>3</v>
      </c>
      <c r="B82" s="743" t="s">
        <v>983</v>
      </c>
      <c r="C82" s="749">
        <v>1022</v>
      </c>
      <c r="D82" s="749">
        <v>1045.8</v>
      </c>
      <c r="E82" s="749">
        <v>1045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1513.9</v>
      </c>
      <c r="D83" s="759">
        <f>D80+D81+D82</f>
        <v>1542.8</v>
      </c>
      <c r="E83" s="759">
        <f>E80+E81+E82</f>
        <v>1531.7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87607.583406496924</v>
      </c>
      <c r="D86" s="752">
        <f>IF(D80=0,0,D59/D80)</f>
        <v>89437.66086956521</v>
      </c>
      <c r="E86" s="752">
        <f>IF(E80=0,0,E59/E80)</f>
        <v>91513.537384233117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16893.336259877084</v>
      </c>
      <c r="D87" s="752">
        <f>IF(D80=0,0,D60/D80)</f>
        <v>20746.882608695651</v>
      </c>
      <c r="E87" s="752">
        <f>IF(E80=0,0,E60/E80)</f>
        <v>15589.55726225435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104500.91966637401</v>
      </c>
      <c r="D88" s="755">
        <f>+D86+D87</f>
        <v>110184.54347826086</v>
      </c>
      <c r="E88" s="755">
        <f>+E86+E87</f>
        <v>107103.09464648747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305672.72727272729</v>
      </c>
      <c r="D91" s="744">
        <f>IF(D81=0,0,D64/D81)</f>
        <v>278227.45945945947</v>
      </c>
      <c r="E91" s="744">
        <f>IF(E81=0,0,E64/E81)</f>
        <v>280909.31818181818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34885.179063360883</v>
      </c>
      <c r="D92" s="744">
        <f>IF(D81=0,0,D65/D81)</f>
        <v>34069.37837837838</v>
      </c>
      <c r="E92" s="744">
        <f>IF(E81=0,0,E65/E81)</f>
        <v>46243.931818181816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340557.9063360882</v>
      </c>
      <c r="D93" s="757">
        <f>+D91+D92</f>
        <v>312296.83783783787</v>
      </c>
      <c r="E93" s="757">
        <f>+E91+E92</f>
        <v>327153.25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56157.479452054795</v>
      </c>
      <c r="D96" s="752">
        <f>IF(D82=0,0,D69/D82)</f>
        <v>58262.643908969214</v>
      </c>
      <c r="E96" s="752">
        <f>IF(E82=0,0,E69/E82)</f>
        <v>59954.51100478469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16333.082191780823</v>
      </c>
      <c r="D97" s="752">
        <f>IF(D82=0,0,D70/D82)</f>
        <v>20275.537387645822</v>
      </c>
      <c r="E97" s="752">
        <f>IF(E82=0,0,E70/E82)</f>
        <v>17171.659330143542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72490.561643835623</v>
      </c>
      <c r="D98" s="757">
        <f>+D96+D97</f>
        <v>78538.181296615032</v>
      </c>
      <c r="E98" s="757">
        <f>+E96+E97</f>
        <v>77126.170334928232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71605.045907919935</v>
      </c>
      <c r="D101" s="744">
        <f>IF(D83=0,0,D75/D83)</f>
        <v>72833.039279232573</v>
      </c>
      <c r="E101" s="744">
        <f>IF(E83=0,0,E75/E83)</f>
        <v>75423.070444604033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16946.526190633464</v>
      </c>
      <c r="D102" s="761">
        <f>IF(D83=0,0,D76/D83)</f>
        <v>20746.882291936738</v>
      </c>
      <c r="E102" s="761">
        <f>IF(E83=0,0,E76/E83)</f>
        <v>17549.529281190833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88551.572098553399</v>
      </c>
      <c r="D103" s="757">
        <f>+D101+D102</f>
        <v>93579.92157116931</v>
      </c>
      <c r="E103" s="757">
        <f>+E101+E102</f>
        <v>92972.599725794862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2699.8474443146574</v>
      </c>
      <c r="D108" s="744">
        <f>IF(D19=0,0,D77/D19)</f>
        <v>2924.8820526326454</v>
      </c>
      <c r="E108" s="744">
        <f>IF(E19=0,0,E77/E19)</f>
        <v>2938.3293304446506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11172.44978748229</v>
      </c>
      <c r="D109" s="744">
        <f>IF(D20=0,0,D77/D20)</f>
        <v>12121.157165645202</v>
      </c>
      <c r="E109" s="744">
        <f>IF(E20=0,0,E77/E20)</f>
        <v>12496.150491400491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1091.3610564143569</v>
      </c>
      <c r="D110" s="744">
        <f>IF(D22=0,0,D77/D22)</f>
        <v>1127.8656301991114</v>
      </c>
      <c r="E110" s="744">
        <f>IF(E22=0,0,E77/E22)</f>
        <v>1100.36985717998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4516.2465118091905</v>
      </c>
      <c r="D111" s="744">
        <f>IF(D23=0,0,D77/D23)</f>
        <v>4674.0471305732808</v>
      </c>
      <c r="E111" s="744">
        <f>IF(E23=0,0,E77/E23)</f>
        <v>4679.6617346637177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851.27027504889702</v>
      </c>
      <c r="D112" s="744">
        <f>IF(D29=0,0,D77/D29)</f>
        <v>901.95779459596633</v>
      </c>
      <c r="E112" s="744">
        <f>IF(E29=0,0,E77/E29)</f>
        <v>858.60303446178409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3522.7080787797263</v>
      </c>
      <c r="D113" s="744">
        <f>IF(D30=0,0,D77/D30)</f>
        <v>3737.8506169970192</v>
      </c>
      <c r="E113" s="744">
        <f>IF(E30=0,0,E77/E30)</f>
        <v>3651.4738561943109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615524464</v>
      </c>
      <c r="D12" s="76">
        <v>650427340</v>
      </c>
      <c r="E12" s="76">
        <f t="shared" ref="E12:E21" si="0">D12-C12</f>
        <v>34902876</v>
      </c>
      <c r="F12" s="77">
        <f t="shared" ref="F12:F21" si="1">IF(C12=0,0,E12/C12)</f>
        <v>5.6704287223911215E-2</v>
      </c>
    </row>
    <row r="13" spans="1:8" ht="23.1" customHeight="1" x14ac:dyDescent="0.2">
      <c r="A13" s="74">
        <v>2</v>
      </c>
      <c r="B13" s="75" t="s">
        <v>72</v>
      </c>
      <c r="C13" s="76">
        <v>326751789</v>
      </c>
      <c r="D13" s="76">
        <v>367903510</v>
      </c>
      <c r="E13" s="76">
        <f t="shared" si="0"/>
        <v>41151721</v>
      </c>
      <c r="F13" s="77">
        <f t="shared" si="1"/>
        <v>0.12594183837812131</v>
      </c>
    </row>
    <row r="14" spans="1:8" ht="23.1" customHeight="1" x14ac:dyDescent="0.2">
      <c r="A14" s="74">
        <v>3</v>
      </c>
      <c r="B14" s="75" t="s">
        <v>73</v>
      </c>
      <c r="C14" s="76">
        <v>5552920</v>
      </c>
      <c r="D14" s="76">
        <v>5791068</v>
      </c>
      <c r="E14" s="76">
        <f t="shared" si="0"/>
        <v>238148</v>
      </c>
      <c r="F14" s="77">
        <f t="shared" si="1"/>
        <v>4.2886985585961983E-2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283219755</v>
      </c>
      <c r="D16" s="79">
        <f>D12-D13-D14-D15</f>
        <v>276732762</v>
      </c>
      <c r="E16" s="79">
        <f t="shared" si="0"/>
        <v>-6486993</v>
      </c>
      <c r="F16" s="80">
        <f t="shared" si="1"/>
        <v>-2.2904450997777326E-2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8723935</v>
      </c>
      <c r="E17" s="76">
        <f t="shared" si="0"/>
        <v>8723935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283219755</v>
      </c>
      <c r="D18" s="79">
        <f>D16-D17</f>
        <v>268008827</v>
      </c>
      <c r="E18" s="79">
        <f t="shared" si="0"/>
        <v>-15210928</v>
      </c>
      <c r="F18" s="80">
        <f t="shared" si="1"/>
        <v>-5.3707157539204846E-2</v>
      </c>
    </row>
    <row r="19" spans="1:7" ht="23.1" customHeight="1" x14ac:dyDescent="0.2">
      <c r="A19" s="74">
        <v>6</v>
      </c>
      <c r="B19" s="75" t="s">
        <v>78</v>
      </c>
      <c r="C19" s="76">
        <v>7282140</v>
      </c>
      <c r="D19" s="76">
        <v>6956718</v>
      </c>
      <c r="E19" s="76">
        <f t="shared" si="0"/>
        <v>-325422</v>
      </c>
      <c r="F19" s="77">
        <f t="shared" si="1"/>
        <v>-4.4687687959857954E-2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174552</v>
      </c>
      <c r="D20" s="76">
        <v>245584</v>
      </c>
      <c r="E20" s="76">
        <f t="shared" si="0"/>
        <v>71032</v>
      </c>
      <c r="F20" s="77">
        <f t="shared" si="1"/>
        <v>0.4069389064576745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290676447</v>
      </c>
      <c r="D21" s="79">
        <f>SUM(D18:D20)</f>
        <v>275211129</v>
      </c>
      <c r="E21" s="79">
        <f t="shared" si="0"/>
        <v>-15465318</v>
      </c>
      <c r="F21" s="80">
        <f t="shared" si="1"/>
        <v>-5.3204579041796256E-2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112366813</v>
      </c>
      <c r="D24" s="76">
        <v>115525517</v>
      </c>
      <c r="E24" s="76">
        <f t="shared" ref="E24:E33" si="2">D24-C24</f>
        <v>3158704</v>
      </c>
      <c r="F24" s="77">
        <f t="shared" ref="F24:F33" si="3">IF(C24=0,0,E24/C24)</f>
        <v>2.8110648648547149E-2</v>
      </c>
    </row>
    <row r="25" spans="1:7" ht="23.1" customHeight="1" x14ac:dyDescent="0.2">
      <c r="A25" s="74">
        <v>2</v>
      </c>
      <c r="B25" s="75" t="s">
        <v>83</v>
      </c>
      <c r="C25" s="76">
        <v>32008290</v>
      </c>
      <c r="D25" s="76">
        <v>26880614</v>
      </c>
      <c r="E25" s="76">
        <f t="shared" si="2"/>
        <v>-5127676</v>
      </c>
      <c r="F25" s="77">
        <f t="shared" si="3"/>
        <v>-0.16019837360883696</v>
      </c>
    </row>
    <row r="26" spans="1:7" ht="23.1" customHeight="1" x14ac:dyDescent="0.2">
      <c r="A26" s="74">
        <v>3</v>
      </c>
      <c r="B26" s="75" t="s">
        <v>84</v>
      </c>
      <c r="C26" s="76">
        <v>1773524</v>
      </c>
      <c r="D26" s="76">
        <v>1727329</v>
      </c>
      <c r="E26" s="76">
        <f t="shared" si="2"/>
        <v>-46195</v>
      </c>
      <c r="F26" s="77">
        <f t="shared" si="3"/>
        <v>-2.6047011486734883E-2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36906258</v>
      </c>
      <c r="D27" s="76">
        <v>36905385</v>
      </c>
      <c r="E27" s="76">
        <f t="shared" si="2"/>
        <v>-873</v>
      </c>
      <c r="F27" s="77">
        <f t="shared" si="3"/>
        <v>-2.365452493178799E-5</v>
      </c>
    </row>
    <row r="28" spans="1:7" ht="23.1" customHeight="1" x14ac:dyDescent="0.2">
      <c r="A28" s="74">
        <v>5</v>
      </c>
      <c r="B28" s="75" t="s">
        <v>86</v>
      </c>
      <c r="C28" s="76">
        <v>18006195</v>
      </c>
      <c r="D28" s="76">
        <v>15523631</v>
      </c>
      <c r="E28" s="76">
        <f t="shared" si="2"/>
        <v>-2482564</v>
      </c>
      <c r="F28" s="77">
        <f t="shared" si="3"/>
        <v>-0.13787277101019954</v>
      </c>
    </row>
    <row r="29" spans="1:7" ht="23.1" customHeight="1" x14ac:dyDescent="0.2">
      <c r="A29" s="74">
        <v>6</v>
      </c>
      <c r="B29" s="75" t="s">
        <v>87</v>
      </c>
      <c r="C29" s="76">
        <v>7949694</v>
      </c>
      <c r="D29" s="76">
        <v>0</v>
      </c>
      <c r="E29" s="76">
        <f t="shared" si="2"/>
        <v>-7949694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3276169</v>
      </c>
      <c r="D30" s="76">
        <v>3375173</v>
      </c>
      <c r="E30" s="76">
        <f t="shared" si="2"/>
        <v>99004</v>
      </c>
      <c r="F30" s="77">
        <f t="shared" si="3"/>
        <v>3.0219442281518443E-2</v>
      </c>
    </row>
    <row r="31" spans="1:7" ht="23.1" customHeight="1" x14ac:dyDescent="0.2">
      <c r="A31" s="74">
        <v>8</v>
      </c>
      <c r="B31" s="75" t="s">
        <v>89</v>
      </c>
      <c r="C31" s="76">
        <v>1295901</v>
      </c>
      <c r="D31" s="76">
        <v>4531196</v>
      </c>
      <c r="E31" s="76">
        <f t="shared" si="2"/>
        <v>3235295</v>
      </c>
      <c r="F31" s="77">
        <f t="shared" si="3"/>
        <v>2.496560308233422</v>
      </c>
    </row>
    <row r="32" spans="1:7" ht="23.1" customHeight="1" x14ac:dyDescent="0.2">
      <c r="A32" s="74">
        <v>9</v>
      </c>
      <c r="B32" s="75" t="s">
        <v>90</v>
      </c>
      <c r="C32" s="76">
        <v>50528887</v>
      </c>
      <c r="D32" s="76">
        <v>45466406</v>
      </c>
      <c r="E32" s="76">
        <f t="shared" si="2"/>
        <v>-5062481</v>
      </c>
      <c r="F32" s="77">
        <f t="shared" si="3"/>
        <v>-0.10018983794359057</v>
      </c>
    </row>
    <row r="33" spans="1:6" ht="23.1" customHeight="1" x14ac:dyDescent="0.25">
      <c r="A33" s="71"/>
      <c r="B33" s="78" t="s">
        <v>91</v>
      </c>
      <c r="C33" s="79">
        <f>SUM(C24:C32)</f>
        <v>264111731</v>
      </c>
      <c r="D33" s="79">
        <f>SUM(D24:D32)</f>
        <v>249935251</v>
      </c>
      <c r="E33" s="79">
        <f t="shared" si="2"/>
        <v>-14176480</v>
      </c>
      <c r="F33" s="80">
        <f t="shared" si="3"/>
        <v>-5.3676070905006486E-2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26564716</v>
      </c>
      <c r="D35" s="79">
        <f>+D21-D33</f>
        <v>25275878</v>
      </c>
      <c r="E35" s="79">
        <f>D35-C35</f>
        <v>-1288838</v>
      </c>
      <c r="F35" s="80">
        <f>IF(C35=0,0,E35/C35)</f>
        <v>-4.8516912433771174E-2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2634485</v>
      </c>
      <c r="D38" s="76">
        <v>5145469</v>
      </c>
      <c r="E38" s="76">
        <f>D38-C38</f>
        <v>2510984</v>
      </c>
      <c r="F38" s="77">
        <f>IF(C38=0,0,E38/C38)</f>
        <v>0.95312138805117508</v>
      </c>
    </row>
    <row r="39" spans="1:6" ht="23.1" customHeight="1" x14ac:dyDescent="0.2">
      <c r="A39" s="85">
        <v>2</v>
      </c>
      <c r="B39" s="75" t="s">
        <v>95</v>
      </c>
      <c r="C39" s="76">
        <v>147058</v>
      </c>
      <c r="D39" s="76">
        <v>137640</v>
      </c>
      <c r="E39" s="76">
        <f>D39-C39</f>
        <v>-9418</v>
      </c>
      <c r="F39" s="77">
        <f>IF(C39=0,0,E39/C39)</f>
        <v>-6.4042758639448374E-2</v>
      </c>
    </row>
    <row r="40" spans="1:6" ht="23.1" customHeight="1" x14ac:dyDescent="0.2">
      <c r="A40" s="85">
        <v>3</v>
      </c>
      <c r="B40" s="75" t="s">
        <v>96</v>
      </c>
      <c r="C40" s="76">
        <v>-29536</v>
      </c>
      <c r="D40" s="76">
        <v>-138649</v>
      </c>
      <c r="E40" s="76">
        <f>D40-C40</f>
        <v>-109113</v>
      </c>
      <c r="F40" s="77">
        <f>IF(C40=0,0,E40/C40)</f>
        <v>3.6942375406283858</v>
      </c>
    </row>
    <row r="41" spans="1:6" ht="23.1" customHeight="1" x14ac:dyDescent="0.25">
      <c r="A41" s="83"/>
      <c r="B41" s="78" t="s">
        <v>97</v>
      </c>
      <c r="C41" s="79">
        <f>SUM(C38:C40)</f>
        <v>2752007</v>
      </c>
      <c r="D41" s="79">
        <f>SUM(D38:D40)</f>
        <v>5144460</v>
      </c>
      <c r="E41" s="79">
        <f>D41-C41</f>
        <v>2392453</v>
      </c>
      <c r="F41" s="80">
        <f>IF(C41=0,0,E41/C41)</f>
        <v>0.86934844279102486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29316723</v>
      </c>
      <c r="D43" s="79">
        <f>D35+D41</f>
        <v>30420338</v>
      </c>
      <c r="E43" s="79">
        <f>D43-C43</f>
        <v>1103615</v>
      </c>
      <c r="F43" s="80">
        <f>IF(C43=0,0,E43/C43)</f>
        <v>3.7644555293577665E-2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10067106</v>
      </c>
      <c r="D46" s="76">
        <v>5113161</v>
      </c>
      <c r="E46" s="76">
        <f>D46-C46</f>
        <v>-4953945</v>
      </c>
      <c r="F46" s="77">
        <f>IF(C46=0,0,E46/C46)</f>
        <v>-0.49209226564218156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10067106</v>
      </c>
      <c r="D48" s="79">
        <f>SUM(D46:D47)</f>
        <v>5113161</v>
      </c>
      <c r="E48" s="79">
        <f>D48-C48</f>
        <v>-4953945</v>
      </c>
      <c r="F48" s="80">
        <f>IF(C48=0,0,E48/C48)</f>
        <v>-0.49209226564218156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39383829</v>
      </c>
      <c r="D50" s="79">
        <f>D43+D48</f>
        <v>35533499</v>
      </c>
      <c r="E50" s="79">
        <f>D50-C50</f>
        <v>-3850330</v>
      </c>
      <c r="F50" s="80">
        <f>IF(C50=0,0,E50/C50)</f>
        <v>-9.7764237194915712E-2</v>
      </c>
    </row>
    <row r="51" spans="1:6" ht="23.1" customHeight="1" x14ac:dyDescent="0.2">
      <c r="A51" s="85"/>
      <c r="B51" s="75" t="s">
        <v>104</v>
      </c>
      <c r="C51" s="76">
        <v>2021619</v>
      </c>
      <c r="D51" s="76">
        <v>2105440</v>
      </c>
      <c r="E51" s="76">
        <f>D51-C51</f>
        <v>83821</v>
      </c>
      <c r="F51" s="77">
        <f>IF(C51=0,0,E51/C51)</f>
        <v>4.1462313126261675E-2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108856037</v>
      </c>
      <c r="D14" s="113">
        <v>113808070</v>
      </c>
      <c r="E14" s="113">
        <f t="shared" ref="E14:E25" si="0">D14-C14</f>
        <v>4952033</v>
      </c>
      <c r="F14" s="114">
        <f t="shared" ref="F14:F25" si="1">IF(C14=0,0,E14/C14)</f>
        <v>4.5491578937418051E-2</v>
      </c>
    </row>
    <row r="15" spans="1:6" x14ac:dyDescent="0.2">
      <c r="A15" s="115">
        <v>2</v>
      </c>
      <c r="B15" s="116" t="s">
        <v>114</v>
      </c>
      <c r="C15" s="113">
        <v>16276648</v>
      </c>
      <c r="D15" s="113">
        <v>17328556</v>
      </c>
      <c r="E15" s="113">
        <f t="shared" si="0"/>
        <v>1051908</v>
      </c>
      <c r="F15" s="114">
        <f t="shared" si="1"/>
        <v>6.4626819969320459E-2</v>
      </c>
    </row>
    <row r="16" spans="1:6" x14ac:dyDescent="0.2">
      <c r="A16" s="115">
        <v>3</v>
      </c>
      <c r="B16" s="116" t="s">
        <v>115</v>
      </c>
      <c r="C16" s="113">
        <v>33700260</v>
      </c>
      <c r="D16" s="113">
        <v>39100309</v>
      </c>
      <c r="E16" s="113">
        <f t="shared" si="0"/>
        <v>5400049</v>
      </c>
      <c r="F16" s="114">
        <f t="shared" si="1"/>
        <v>0.16023760647543966</v>
      </c>
    </row>
    <row r="17" spans="1:6" x14ac:dyDescent="0.2">
      <c r="A17" s="115">
        <v>4</v>
      </c>
      <c r="B17" s="116" t="s">
        <v>116</v>
      </c>
      <c r="C17" s="113">
        <v>3160099</v>
      </c>
      <c r="D17" s="113">
        <v>0</v>
      </c>
      <c r="E17" s="113">
        <f t="shared" si="0"/>
        <v>-3160099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3124142</v>
      </c>
      <c r="D18" s="113">
        <v>2360285</v>
      </c>
      <c r="E18" s="113">
        <f t="shared" si="0"/>
        <v>-763857</v>
      </c>
      <c r="F18" s="114">
        <f t="shared" si="1"/>
        <v>-0.24450137029622854</v>
      </c>
    </row>
    <row r="19" spans="1:6" x14ac:dyDescent="0.2">
      <c r="A19" s="115">
        <v>6</v>
      </c>
      <c r="B19" s="116" t="s">
        <v>118</v>
      </c>
      <c r="C19" s="113">
        <v>3505495</v>
      </c>
      <c r="D19" s="113">
        <v>2420106</v>
      </c>
      <c r="E19" s="113">
        <f t="shared" si="0"/>
        <v>-1085389</v>
      </c>
      <c r="F19" s="114">
        <f t="shared" si="1"/>
        <v>-0.30962503155759741</v>
      </c>
    </row>
    <row r="20" spans="1:6" x14ac:dyDescent="0.2">
      <c r="A20" s="115">
        <v>7</v>
      </c>
      <c r="B20" s="116" t="s">
        <v>119</v>
      </c>
      <c r="C20" s="113">
        <v>61675987</v>
      </c>
      <c r="D20" s="113">
        <v>61727050</v>
      </c>
      <c r="E20" s="113">
        <f t="shared" si="0"/>
        <v>51063</v>
      </c>
      <c r="F20" s="114">
        <f t="shared" si="1"/>
        <v>8.2792351584093826E-4</v>
      </c>
    </row>
    <row r="21" spans="1:6" x14ac:dyDescent="0.2">
      <c r="A21" s="115">
        <v>8</v>
      </c>
      <c r="B21" s="116" t="s">
        <v>120</v>
      </c>
      <c r="C21" s="113">
        <v>3086174</v>
      </c>
      <c r="D21" s="113">
        <v>2794478</v>
      </c>
      <c r="E21" s="113">
        <f t="shared" si="0"/>
        <v>-291696</v>
      </c>
      <c r="F21" s="114">
        <f t="shared" si="1"/>
        <v>-9.4517029823982704E-2</v>
      </c>
    </row>
    <row r="22" spans="1:6" x14ac:dyDescent="0.2">
      <c r="A22" s="115">
        <v>9</v>
      </c>
      <c r="B22" s="116" t="s">
        <v>121</v>
      </c>
      <c r="C22" s="113">
        <v>2711434</v>
      </c>
      <c r="D22" s="113">
        <v>3027720</v>
      </c>
      <c r="E22" s="113">
        <f t="shared" si="0"/>
        <v>316286</v>
      </c>
      <c r="F22" s="114">
        <f t="shared" si="1"/>
        <v>0.1166489761506273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1256504</v>
      </c>
      <c r="D24" s="113">
        <v>1010833</v>
      </c>
      <c r="E24" s="113">
        <f t="shared" si="0"/>
        <v>-245671</v>
      </c>
      <c r="F24" s="114">
        <f t="shared" si="1"/>
        <v>-0.19551947307768219</v>
      </c>
    </row>
    <row r="25" spans="1:6" ht="15.75" x14ac:dyDescent="0.25">
      <c r="A25" s="117"/>
      <c r="B25" s="118" t="s">
        <v>124</v>
      </c>
      <c r="C25" s="119">
        <f>SUM(C14:C24)</f>
        <v>237352780</v>
      </c>
      <c r="D25" s="119">
        <f>SUM(D14:D24)</f>
        <v>243577407</v>
      </c>
      <c r="E25" s="119">
        <f t="shared" si="0"/>
        <v>6224627</v>
      </c>
      <c r="F25" s="120">
        <f t="shared" si="1"/>
        <v>2.6225212108322474E-2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102335050</v>
      </c>
      <c r="D27" s="113">
        <v>107697117</v>
      </c>
      <c r="E27" s="113">
        <f t="shared" ref="E27:E38" si="2">D27-C27</f>
        <v>5362067</v>
      </c>
      <c r="F27" s="114">
        <f t="shared" ref="F27:F38" si="3">IF(C27=0,0,E27/C27)</f>
        <v>5.2397169884609428E-2</v>
      </c>
    </row>
    <row r="28" spans="1:6" x14ac:dyDescent="0.2">
      <c r="A28" s="115">
        <v>2</v>
      </c>
      <c r="B28" s="116" t="s">
        <v>114</v>
      </c>
      <c r="C28" s="113">
        <v>18976421</v>
      </c>
      <c r="D28" s="113">
        <v>24197235</v>
      </c>
      <c r="E28" s="113">
        <f t="shared" si="2"/>
        <v>5220814</v>
      </c>
      <c r="F28" s="114">
        <f t="shared" si="3"/>
        <v>0.27512110950742502</v>
      </c>
    </row>
    <row r="29" spans="1:6" x14ac:dyDescent="0.2">
      <c r="A29" s="115">
        <v>3</v>
      </c>
      <c r="B29" s="116" t="s">
        <v>115</v>
      </c>
      <c r="C29" s="113">
        <v>62823444</v>
      </c>
      <c r="D29" s="113">
        <v>83926391</v>
      </c>
      <c r="E29" s="113">
        <f t="shared" si="2"/>
        <v>21102947</v>
      </c>
      <c r="F29" s="114">
        <f t="shared" si="3"/>
        <v>0.33590878908198668</v>
      </c>
    </row>
    <row r="30" spans="1:6" x14ac:dyDescent="0.2">
      <c r="A30" s="115">
        <v>4</v>
      </c>
      <c r="B30" s="116" t="s">
        <v>116</v>
      </c>
      <c r="C30" s="113">
        <v>7862902</v>
      </c>
      <c r="D30" s="113">
        <v>0</v>
      </c>
      <c r="E30" s="113">
        <f t="shared" si="2"/>
        <v>-7862902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7191710</v>
      </c>
      <c r="D31" s="113">
        <v>7118154</v>
      </c>
      <c r="E31" s="113">
        <f t="shared" si="2"/>
        <v>-73556</v>
      </c>
      <c r="F31" s="114">
        <f t="shared" si="3"/>
        <v>-1.0227887387005316E-2</v>
      </c>
    </row>
    <row r="32" spans="1:6" x14ac:dyDescent="0.2">
      <c r="A32" s="115">
        <v>6</v>
      </c>
      <c r="B32" s="116" t="s">
        <v>118</v>
      </c>
      <c r="C32" s="113">
        <v>9152850</v>
      </c>
      <c r="D32" s="113">
        <v>9365007</v>
      </c>
      <c r="E32" s="113">
        <f t="shared" si="2"/>
        <v>212157</v>
      </c>
      <c r="F32" s="114">
        <f t="shared" si="3"/>
        <v>2.3179337583375668E-2</v>
      </c>
    </row>
    <row r="33" spans="1:6" x14ac:dyDescent="0.2">
      <c r="A33" s="115">
        <v>7</v>
      </c>
      <c r="B33" s="116" t="s">
        <v>119</v>
      </c>
      <c r="C33" s="113">
        <v>152482603</v>
      </c>
      <c r="D33" s="113">
        <v>155576561</v>
      </c>
      <c r="E33" s="113">
        <f t="shared" si="2"/>
        <v>3093958</v>
      </c>
      <c r="F33" s="114">
        <f t="shared" si="3"/>
        <v>2.0290563901247147E-2</v>
      </c>
    </row>
    <row r="34" spans="1:6" x14ac:dyDescent="0.2">
      <c r="A34" s="115">
        <v>8</v>
      </c>
      <c r="B34" s="116" t="s">
        <v>120</v>
      </c>
      <c r="C34" s="113">
        <v>5755854</v>
      </c>
      <c r="D34" s="113">
        <v>5544399</v>
      </c>
      <c r="E34" s="113">
        <f t="shared" si="2"/>
        <v>-211455</v>
      </c>
      <c r="F34" s="114">
        <f t="shared" si="3"/>
        <v>-3.6737380760526586E-2</v>
      </c>
    </row>
    <row r="35" spans="1:6" x14ac:dyDescent="0.2">
      <c r="A35" s="115">
        <v>9</v>
      </c>
      <c r="B35" s="116" t="s">
        <v>121</v>
      </c>
      <c r="C35" s="113">
        <v>10411627</v>
      </c>
      <c r="D35" s="113">
        <v>11449862</v>
      </c>
      <c r="E35" s="113">
        <f t="shared" si="2"/>
        <v>1038235</v>
      </c>
      <c r="F35" s="114">
        <f t="shared" si="3"/>
        <v>9.971880475549115E-2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1179222</v>
      </c>
      <c r="D37" s="113">
        <v>1975207</v>
      </c>
      <c r="E37" s="113">
        <f t="shared" si="2"/>
        <v>795985</v>
      </c>
      <c r="F37" s="114">
        <f t="shared" si="3"/>
        <v>0.67500860736994395</v>
      </c>
    </row>
    <row r="38" spans="1:6" ht="15.75" x14ac:dyDescent="0.25">
      <c r="A38" s="117"/>
      <c r="B38" s="118" t="s">
        <v>126</v>
      </c>
      <c r="C38" s="119">
        <f>SUM(C27:C37)</f>
        <v>378171683</v>
      </c>
      <c r="D38" s="119">
        <f>SUM(D27:D37)</f>
        <v>406849933</v>
      </c>
      <c r="E38" s="119">
        <f t="shared" si="2"/>
        <v>28678250</v>
      </c>
      <c r="F38" s="120">
        <f t="shared" si="3"/>
        <v>7.5833943389145828E-2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211191087</v>
      </c>
      <c r="D41" s="119">
        <f t="shared" si="4"/>
        <v>221505187</v>
      </c>
      <c r="E41" s="123">
        <f t="shared" ref="E41:E52" si="5">D41-C41</f>
        <v>10314100</v>
      </c>
      <c r="F41" s="124">
        <f t="shared" ref="F41:F52" si="6">IF(C41=0,0,E41/C41)</f>
        <v>4.8837761794369668E-2</v>
      </c>
    </row>
    <row r="42" spans="1:6" ht="15.75" x14ac:dyDescent="0.25">
      <c r="A42" s="121">
        <v>2</v>
      </c>
      <c r="B42" s="122" t="s">
        <v>114</v>
      </c>
      <c r="C42" s="119">
        <f t="shared" si="4"/>
        <v>35253069</v>
      </c>
      <c r="D42" s="119">
        <f t="shared" si="4"/>
        <v>41525791</v>
      </c>
      <c r="E42" s="123">
        <f t="shared" si="5"/>
        <v>6272722</v>
      </c>
      <c r="F42" s="124">
        <f t="shared" si="6"/>
        <v>0.17793406866222058</v>
      </c>
    </row>
    <row r="43" spans="1:6" ht="15.75" x14ac:dyDescent="0.25">
      <c r="A43" s="121">
        <v>3</v>
      </c>
      <c r="B43" s="122" t="s">
        <v>115</v>
      </c>
      <c r="C43" s="119">
        <f t="shared" si="4"/>
        <v>96523704</v>
      </c>
      <c r="D43" s="119">
        <f t="shared" si="4"/>
        <v>123026700</v>
      </c>
      <c r="E43" s="123">
        <f t="shared" si="5"/>
        <v>26502996</v>
      </c>
      <c r="F43" s="124">
        <f t="shared" si="6"/>
        <v>0.27457499973270816</v>
      </c>
    </row>
    <row r="44" spans="1:6" ht="15.75" x14ac:dyDescent="0.25">
      <c r="A44" s="121">
        <v>4</v>
      </c>
      <c r="B44" s="122" t="s">
        <v>116</v>
      </c>
      <c r="C44" s="119">
        <f t="shared" si="4"/>
        <v>11023001</v>
      </c>
      <c r="D44" s="119">
        <f t="shared" si="4"/>
        <v>0</v>
      </c>
      <c r="E44" s="123">
        <f t="shared" si="5"/>
        <v>-11023001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10315852</v>
      </c>
      <c r="D45" s="119">
        <f t="shared" si="4"/>
        <v>9478439</v>
      </c>
      <c r="E45" s="123">
        <f t="shared" si="5"/>
        <v>-837413</v>
      </c>
      <c r="F45" s="124">
        <f t="shared" si="6"/>
        <v>-8.1177298782495133E-2</v>
      </c>
    </row>
    <row r="46" spans="1:6" ht="15.75" x14ac:dyDescent="0.25">
      <c r="A46" s="121">
        <v>6</v>
      </c>
      <c r="B46" s="122" t="s">
        <v>118</v>
      </c>
      <c r="C46" s="119">
        <f t="shared" si="4"/>
        <v>12658345</v>
      </c>
      <c r="D46" s="119">
        <f t="shared" si="4"/>
        <v>11785113</v>
      </c>
      <c r="E46" s="123">
        <f t="shared" si="5"/>
        <v>-873232</v>
      </c>
      <c r="F46" s="124">
        <f t="shared" si="6"/>
        <v>-6.8984689546698244E-2</v>
      </c>
    </row>
    <row r="47" spans="1:6" ht="15.75" x14ac:dyDescent="0.25">
      <c r="A47" s="121">
        <v>7</v>
      </c>
      <c r="B47" s="122" t="s">
        <v>119</v>
      </c>
      <c r="C47" s="119">
        <f t="shared" si="4"/>
        <v>214158590</v>
      </c>
      <c r="D47" s="119">
        <f t="shared" si="4"/>
        <v>217303611</v>
      </c>
      <c r="E47" s="123">
        <f t="shared" si="5"/>
        <v>3145021</v>
      </c>
      <c r="F47" s="124">
        <f t="shared" si="6"/>
        <v>1.4685476776812922E-2</v>
      </c>
    </row>
    <row r="48" spans="1:6" ht="15.75" x14ac:dyDescent="0.25">
      <c r="A48" s="121">
        <v>8</v>
      </c>
      <c r="B48" s="122" t="s">
        <v>120</v>
      </c>
      <c r="C48" s="119">
        <f t="shared" si="4"/>
        <v>8842028</v>
      </c>
      <c r="D48" s="119">
        <f t="shared" si="4"/>
        <v>8338877</v>
      </c>
      <c r="E48" s="123">
        <f t="shared" si="5"/>
        <v>-503151</v>
      </c>
      <c r="F48" s="124">
        <f t="shared" si="6"/>
        <v>-5.6904479379617436E-2</v>
      </c>
    </row>
    <row r="49" spans="1:6" ht="15.75" x14ac:dyDescent="0.25">
      <c r="A49" s="121">
        <v>9</v>
      </c>
      <c r="B49" s="122" t="s">
        <v>121</v>
      </c>
      <c r="C49" s="119">
        <f t="shared" si="4"/>
        <v>13123061</v>
      </c>
      <c r="D49" s="119">
        <f t="shared" si="4"/>
        <v>14477582</v>
      </c>
      <c r="E49" s="123">
        <f t="shared" si="5"/>
        <v>1354521</v>
      </c>
      <c r="F49" s="124">
        <f t="shared" si="6"/>
        <v>0.10321684856909527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2435726</v>
      </c>
      <c r="D51" s="119">
        <f t="shared" si="4"/>
        <v>2986040</v>
      </c>
      <c r="E51" s="123">
        <f t="shared" si="5"/>
        <v>550314</v>
      </c>
      <c r="F51" s="124">
        <f t="shared" si="6"/>
        <v>0.22593427996416673</v>
      </c>
    </row>
    <row r="52" spans="1:6" ht="18.75" customHeight="1" thickBot="1" x14ac:dyDescent="0.3">
      <c r="A52" s="125"/>
      <c r="B52" s="126" t="s">
        <v>128</v>
      </c>
      <c r="C52" s="127">
        <f>SUM(C41:C51)</f>
        <v>615524463</v>
      </c>
      <c r="D52" s="128">
        <f>SUM(D41:D51)</f>
        <v>650427340</v>
      </c>
      <c r="E52" s="127">
        <f t="shared" si="5"/>
        <v>34902877</v>
      </c>
      <c r="F52" s="129">
        <f t="shared" si="6"/>
        <v>5.6704288940665551E-2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55423560</v>
      </c>
      <c r="D57" s="113">
        <v>46948322</v>
      </c>
      <c r="E57" s="113">
        <f t="shared" ref="E57:E68" si="7">D57-C57</f>
        <v>-8475238</v>
      </c>
      <c r="F57" s="114">
        <f t="shared" ref="F57:F68" si="8">IF(C57=0,0,E57/C57)</f>
        <v>-0.15291760399368068</v>
      </c>
    </row>
    <row r="58" spans="1:6" x14ac:dyDescent="0.2">
      <c r="A58" s="115">
        <v>2</v>
      </c>
      <c r="B58" s="116" t="s">
        <v>114</v>
      </c>
      <c r="C58" s="113">
        <v>6684346</v>
      </c>
      <c r="D58" s="113">
        <v>7368069</v>
      </c>
      <c r="E58" s="113">
        <f t="shared" si="7"/>
        <v>683723</v>
      </c>
      <c r="F58" s="114">
        <f t="shared" si="8"/>
        <v>0.1022871945886703</v>
      </c>
    </row>
    <row r="59" spans="1:6" x14ac:dyDescent="0.2">
      <c r="A59" s="115">
        <v>3</v>
      </c>
      <c r="B59" s="116" t="s">
        <v>115</v>
      </c>
      <c r="C59" s="113">
        <v>9406928</v>
      </c>
      <c r="D59" s="113">
        <v>11717559</v>
      </c>
      <c r="E59" s="113">
        <f t="shared" si="7"/>
        <v>2310631</v>
      </c>
      <c r="F59" s="114">
        <f t="shared" si="8"/>
        <v>0.24563077340445255</v>
      </c>
    </row>
    <row r="60" spans="1:6" x14ac:dyDescent="0.2">
      <c r="A60" s="115">
        <v>4</v>
      </c>
      <c r="B60" s="116" t="s">
        <v>116</v>
      </c>
      <c r="C60" s="113">
        <v>860977</v>
      </c>
      <c r="D60" s="113">
        <v>0</v>
      </c>
      <c r="E60" s="113">
        <f t="shared" si="7"/>
        <v>-860977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1364747</v>
      </c>
      <c r="D61" s="113">
        <v>914334</v>
      </c>
      <c r="E61" s="113">
        <f t="shared" si="7"/>
        <v>-450413</v>
      </c>
      <c r="F61" s="114">
        <f t="shared" si="8"/>
        <v>-0.33003406492192328</v>
      </c>
    </row>
    <row r="62" spans="1:6" x14ac:dyDescent="0.2">
      <c r="A62" s="115">
        <v>6</v>
      </c>
      <c r="B62" s="116" t="s">
        <v>118</v>
      </c>
      <c r="C62" s="113">
        <v>3176899</v>
      </c>
      <c r="D62" s="113">
        <v>2082814</v>
      </c>
      <c r="E62" s="113">
        <f t="shared" si="7"/>
        <v>-1094085</v>
      </c>
      <c r="F62" s="114">
        <f t="shared" si="8"/>
        <v>-0.34438771896745851</v>
      </c>
    </row>
    <row r="63" spans="1:6" x14ac:dyDescent="0.2">
      <c r="A63" s="115">
        <v>7</v>
      </c>
      <c r="B63" s="116" t="s">
        <v>119</v>
      </c>
      <c r="C63" s="113">
        <v>50064203</v>
      </c>
      <c r="D63" s="113">
        <v>46671771</v>
      </c>
      <c r="E63" s="113">
        <f t="shared" si="7"/>
        <v>-3392432</v>
      </c>
      <c r="F63" s="114">
        <f t="shared" si="8"/>
        <v>-6.7761630001380427E-2</v>
      </c>
    </row>
    <row r="64" spans="1:6" x14ac:dyDescent="0.2">
      <c r="A64" s="115">
        <v>8</v>
      </c>
      <c r="B64" s="116" t="s">
        <v>120</v>
      </c>
      <c r="C64" s="113">
        <v>2407196</v>
      </c>
      <c r="D64" s="113">
        <v>2434406</v>
      </c>
      <c r="E64" s="113">
        <f t="shared" si="7"/>
        <v>27210</v>
      </c>
      <c r="F64" s="114">
        <f t="shared" si="8"/>
        <v>1.130360801530079E-2</v>
      </c>
    </row>
    <row r="65" spans="1:6" x14ac:dyDescent="0.2">
      <c r="A65" s="115">
        <v>9</v>
      </c>
      <c r="B65" s="116" t="s">
        <v>121</v>
      </c>
      <c r="C65" s="113">
        <v>706485</v>
      </c>
      <c r="D65" s="113">
        <v>493407</v>
      </c>
      <c r="E65" s="113">
        <f t="shared" si="7"/>
        <v>-213078</v>
      </c>
      <c r="F65" s="114">
        <f t="shared" si="8"/>
        <v>-0.3016030064332576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362821</v>
      </c>
      <c r="D67" s="113">
        <v>320644</v>
      </c>
      <c r="E67" s="113">
        <f t="shared" si="7"/>
        <v>-42177</v>
      </c>
      <c r="F67" s="114">
        <f t="shared" si="8"/>
        <v>-0.11624740574553293</v>
      </c>
    </row>
    <row r="68" spans="1:6" ht="15.75" x14ac:dyDescent="0.25">
      <c r="A68" s="117"/>
      <c r="B68" s="118" t="s">
        <v>131</v>
      </c>
      <c r="C68" s="119">
        <f>SUM(C57:C67)</f>
        <v>130458162</v>
      </c>
      <c r="D68" s="119">
        <f>SUM(D57:D67)</f>
        <v>118951326</v>
      </c>
      <c r="E68" s="119">
        <f t="shared" si="7"/>
        <v>-11506836</v>
      </c>
      <c r="F68" s="120">
        <f t="shared" si="8"/>
        <v>-8.8203266270147213E-2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25193532</v>
      </c>
      <c r="D70" s="113">
        <v>26266559</v>
      </c>
      <c r="E70" s="113">
        <f t="shared" ref="E70:E81" si="9">D70-C70</f>
        <v>1073027</v>
      </c>
      <c r="F70" s="114">
        <f t="shared" ref="F70:F81" si="10">IF(C70=0,0,E70/C70)</f>
        <v>4.2591368292464904E-2</v>
      </c>
    </row>
    <row r="71" spans="1:6" x14ac:dyDescent="0.2">
      <c r="A71" s="115">
        <v>2</v>
      </c>
      <c r="B71" s="116" t="s">
        <v>114</v>
      </c>
      <c r="C71" s="113">
        <v>4556262</v>
      </c>
      <c r="D71" s="113">
        <v>5437009</v>
      </c>
      <c r="E71" s="113">
        <f t="shared" si="9"/>
        <v>880747</v>
      </c>
      <c r="F71" s="114">
        <f t="shared" si="10"/>
        <v>0.19330473093952893</v>
      </c>
    </row>
    <row r="72" spans="1:6" x14ac:dyDescent="0.2">
      <c r="A72" s="115">
        <v>3</v>
      </c>
      <c r="B72" s="116" t="s">
        <v>115</v>
      </c>
      <c r="C72" s="113">
        <v>13642669</v>
      </c>
      <c r="D72" s="113">
        <v>19514011</v>
      </c>
      <c r="E72" s="113">
        <f t="shared" si="9"/>
        <v>5871342</v>
      </c>
      <c r="F72" s="114">
        <f t="shared" si="10"/>
        <v>0.43036608159297862</v>
      </c>
    </row>
    <row r="73" spans="1:6" x14ac:dyDescent="0.2">
      <c r="A73" s="115">
        <v>4</v>
      </c>
      <c r="B73" s="116" t="s">
        <v>116</v>
      </c>
      <c r="C73" s="113">
        <v>2157866</v>
      </c>
      <c r="D73" s="113">
        <v>0</v>
      </c>
      <c r="E73" s="113">
        <f t="shared" si="9"/>
        <v>-2157866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1957670</v>
      </c>
      <c r="D74" s="113">
        <v>1776013</v>
      </c>
      <c r="E74" s="113">
        <f t="shared" si="9"/>
        <v>-181657</v>
      </c>
      <c r="F74" s="114">
        <f t="shared" si="10"/>
        <v>-9.2792452251911711E-2</v>
      </c>
    </row>
    <row r="75" spans="1:6" x14ac:dyDescent="0.2">
      <c r="A75" s="115">
        <v>6</v>
      </c>
      <c r="B75" s="116" t="s">
        <v>118</v>
      </c>
      <c r="C75" s="113">
        <v>7704302</v>
      </c>
      <c r="D75" s="113">
        <v>7610955</v>
      </c>
      <c r="E75" s="113">
        <f t="shared" si="9"/>
        <v>-93347</v>
      </c>
      <c r="F75" s="114">
        <f t="shared" si="10"/>
        <v>-1.2116217666441425E-2</v>
      </c>
    </row>
    <row r="76" spans="1:6" x14ac:dyDescent="0.2">
      <c r="A76" s="115">
        <v>7</v>
      </c>
      <c r="B76" s="116" t="s">
        <v>119</v>
      </c>
      <c r="C76" s="113">
        <v>85293028</v>
      </c>
      <c r="D76" s="113">
        <v>88896387</v>
      </c>
      <c r="E76" s="113">
        <f t="shared" si="9"/>
        <v>3603359</v>
      </c>
      <c r="F76" s="114">
        <f t="shared" si="10"/>
        <v>4.2246817641413789E-2</v>
      </c>
    </row>
    <row r="77" spans="1:6" x14ac:dyDescent="0.2">
      <c r="A77" s="115">
        <v>8</v>
      </c>
      <c r="B77" s="116" t="s">
        <v>120</v>
      </c>
      <c r="C77" s="113">
        <v>4079984</v>
      </c>
      <c r="D77" s="113">
        <v>4054156</v>
      </c>
      <c r="E77" s="113">
        <f t="shared" si="9"/>
        <v>-25828</v>
      </c>
      <c r="F77" s="114">
        <f t="shared" si="10"/>
        <v>-6.3304169820273806E-3</v>
      </c>
    </row>
    <row r="78" spans="1:6" x14ac:dyDescent="0.2">
      <c r="A78" s="115">
        <v>9</v>
      </c>
      <c r="B78" s="116" t="s">
        <v>121</v>
      </c>
      <c r="C78" s="113">
        <v>1974665</v>
      </c>
      <c r="D78" s="113">
        <v>1892058</v>
      </c>
      <c r="E78" s="113">
        <f t="shared" si="9"/>
        <v>-82607</v>
      </c>
      <c r="F78" s="114">
        <f t="shared" si="10"/>
        <v>-4.1833424910048031E-2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266662</v>
      </c>
      <c r="D80" s="113">
        <v>503879</v>
      </c>
      <c r="E80" s="113">
        <f t="shared" si="9"/>
        <v>237217</v>
      </c>
      <c r="F80" s="114">
        <f t="shared" si="10"/>
        <v>0.88957931763805864</v>
      </c>
    </row>
    <row r="81" spans="1:6" ht="15.75" x14ac:dyDescent="0.25">
      <c r="A81" s="117"/>
      <c r="B81" s="118" t="s">
        <v>133</v>
      </c>
      <c r="C81" s="119">
        <f>SUM(C70:C80)</f>
        <v>146826640</v>
      </c>
      <c r="D81" s="119">
        <f>SUM(D70:D80)</f>
        <v>155951027</v>
      </c>
      <c r="E81" s="119">
        <f t="shared" si="9"/>
        <v>9124387</v>
      </c>
      <c r="F81" s="120">
        <f t="shared" si="10"/>
        <v>6.2143947447139018E-2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80617092</v>
      </c>
      <c r="D84" s="119">
        <f t="shared" si="11"/>
        <v>73214881</v>
      </c>
      <c r="E84" s="119">
        <f t="shared" ref="E84:E95" si="12">D84-C84</f>
        <v>-7402211</v>
      </c>
      <c r="F84" s="120">
        <f t="shared" ref="F84:F95" si="13">IF(C84=0,0,E84/C84)</f>
        <v>-9.1819374978199406E-2</v>
      </c>
    </row>
    <row r="85" spans="1:6" ht="15.75" x14ac:dyDescent="0.25">
      <c r="A85" s="130">
        <v>2</v>
      </c>
      <c r="B85" s="122" t="s">
        <v>114</v>
      </c>
      <c r="C85" s="119">
        <f t="shared" si="11"/>
        <v>11240608</v>
      </c>
      <c r="D85" s="119">
        <f t="shared" si="11"/>
        <v>12805078</v>
      </c>
      <c r="E85" s="119">
        <f t="shared" si="12"/>
        <v>1564470</v>
      </c>
      <c r="F85" s="120">
        <f t="shared" si="13"/>
        <v>0.13918019381158031</v>
      </c>
    </row>
    <row r="86" spans="1:6" ht="15.75" x14ac:dyDescent="0.25">
      <c r="A86" s="130">
        <v>3</v>
      </c>
      <c r="B86" s="122" t="s">
        <v>115</v>
      </c>
      <c r="C86" s="119">
        <f t="shared" si="11"/>
        <v>23049597</v>
      </c>
      <c r="D86" s="119">
        <f t="shared" si="11"/>
        <v>31231570</v>
      </c>
      <c r="E86" s="119">
        <f t="shared" si="12"/>
        <v>8181973</v>
      </c>
      <c r="F86" s="120">
        <f t="shared" si="13"/>
        <v>0.35497249691610661</v>
      </c>
    </row>
    <row r="87" spans="1:6" ht="15.75" x14ac:dyDescent="0.25">
      <c r="A87" s="130">
        <v>4</v>
      </c>
      <c r="B87" s="122" t="s">
        <v>116</v>
      </c>
      <c r="C87" s="119">
        <f t="shared" si="11"/>
        <v>3018843</v>
      </c>
      <c r="D87" s="119">
        <f t="shared" si="11"/>
        <v>0</v>
      </c>
      <c r="E87" s="119">
        <f t="shared" si="12"/>
        <v>-3018843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3322417</v>
      </c>
      <c r="D88" s="119">
        <f t="shared" si="11"/>
        <v>2690347</v>
      </c>
      <c r="E88" s="119">
        <f t="shared" si="12"/>
        <v>-632070</v>
      </c>
      <c r="F88" s="120">
        <f t="shared" si="13"/>
        <v>-0.19024403017441821</v>
      </c>
    </row>
    <row r="89" spans="1:6" ht="15.75" x14ac:dyDescent="0.25">
      <c r="A89" s="130">
        <v>6</v>
      </c>
      <c r="B89" s="122" t="s">
        <v>118</v>
      </c>
      <c r="C89" s="119">
        <f t="shared" si="11"/>
        <v>10881201</v>
      </c>
      <c r="D89" s="119">
        <f t="shared" si="11"/>
        <v>9693769</v>
      </c>
      <c r="E89" s="119">
        <f t="shared" si="12"/>
        <v>-1187432</v>
      </c>
      <c r="F89" s="120">
        <f t="shared" si="13"/>
        <v>-0.10912692450033779</v>
      </c>
    </row>
    <row r="90" spans="1:6" ht="15.75" x14ac:dyDescent="0.25">
      <c r="A90" s="130">
        <v>7</v>
      </c>
      <c r="B90" s="122" t="s">
        <v>119</v>
      </c>
      <c r="C90" s="119">
        <f t="shared" si="11"/>
        <v>135357231</v>
      </c>
      <c r="D90" s="119">
        <f t="shared" si="11"/>
        <v>135568158</v>
      </c>
      <c r="E90" s="119">
        <f t="shared" si="12"/>
        <v>210927</v>
      </c>
      <c r="F90" s="120">
        <f t="shared" si="13"/>
        <v>1.5582987214033655E-3</v>
      </c>
    </row>
    <row r="91" spans="1:6" ht="15.75" x14ac:dyDescent="0.25">
      <c r="A91" s="130">
        <v>8</v>
      </c>
      <c r="B91" s="122" t="s">
        <v>120</v>
      </c>
      <c r="C91" s="119">
        <f t="shared" si="11"/>
        <v>6487180</v>
      </c>
      <c r="D91" s="119">
        <f t="shared" si="11"/>
        <v>6488562</v>
      </c>
      <c r="E91" s="119">
        <f t="shared" si="12"/>
        <v>1382</v>
      </c>
      <c r="F91" s="120">
        <f t="shared" si="13"/>
        <v>2.1303555628177421E-4</v>
      </c>
    </row>
    <row r="92" spans="1:6" ht="15.75" x14ac:dyDescent="0.25">
      <c r="A92" s="130">
        <v>9</v>
      </c>
      <c r="B92" s="122" t="s">
        <v>121</v>
      </c>
      <c r="C92" s="119">
        <f t="shared" si="11"/>
        <v>2681150</v>
      </c>
      <c r="D92" s="119">
        <f t="shared" si="11"/>
        <v>2385465</v>
      </c>
      <c r="E92" s="119">
        <f t="shared" si="12"/>
        <v>-295685</v>
      </c>
      <c r="F92" s="120">
        <f t="shared" si="13"/>
        <v>-0.11028290099397646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629483</v>
      </c>
      <c r="D94" s="119">
        <f t="shared" si="11"/>
        <v>824523</v>
      </c>
      <c r="E94" s="119">
        <f t="shared" si="12"/>
        <v>195040</v>
      </c>
      <c r="F94" s="120">
        <f t="shared" si="13"/>
        <v>0.30984156839819343</v>
      </c>
    </row>
    <row r="95" spans="1:6" ht="18.75" customHeight="1" thickBot="1" x14ac:dyDescent="0.3">
      <c r="A95" s="131"/>
      <c r="B95" s="132" t="s">
        <v>134</v>
      </c>
      <c r="C95" s="128">
        <f>SUM(C84:C94)</f>
        <v>277284802</v>
      </c>
      <c r="D95" s="128">
        <f>SUM(D84:D94)</f>
        <v>274902353</v>
      </c>
      <c r="E95" s="128">
        <f t="shared" si="12"/>
        <v>-2382449</v>
      </c>
      <c r="F95" s="129">
        <f t="shared" si="13"/>
        <v>-8.5920648474632228E-3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4787</v>
      </c>
      <c r="D100" s="133">
        <v>4536</v>
      </c>
      <c r="E100" s="133">
        <f t="shared" ref="E100:E111" si="14">D100-C100</f>
        <v>-251</v>
      </c>
      <c r="F100" s="114">
        <f t="shared" ref="F100:F111" si="15">IF(C100=0,0,E100/C100)</f>
        <v>-5.2433674535199495E-2</v>
      </c>
    </row>
    <row r="101" spans="1:6" x14ac:dyDescent="0.2">
      <c r="A101" s="115">
        <v>2</v>
      </c>
      <c r="B101" s="116" t="s">
        <v>114</v>
      </c>
      <c r="C101" s="133">
        <v>721</v>
      </c>
      <c r="D101" s="133">
        <v>708</v>
      </c>
      <c r="E101" s="133">
        <f t="shared" si="14"/>
        <v>-13</v>
      </c>
      <c r="F101" s="114">
        <f t="shared" si="15"/>
        <v>-1.8030513176144243E-2</v>
      </c>
    </row>
    <row r="102" spans="1:6" x14ac:dyDescent="0.2">
      <c r="A102" s="115">
        <v>3</v>
      </c>
      <c r="B102" s="116" t="s">
        <v>115</v>
      </c>
      <c r="C102" s="133">
        <v>2055</v>
      </c>
      <c r="D102" s="133">
        <v>2341</v>
      </c>
      <c r="E102" s="133">
        <f t="shared" si="14"/>
        <v>286</v>
      </c>
      <c r="F102" s="114">
        <f t="shared" si="15"/>
        <v>0.1391727493917275</v>
      </c>
    </row>
    <row r="103" spans="1:6" x14ac:dyDescent="0.2">
      <c r="A103" s="115">
        <v>4</v>
      </c>
      <c r="B103" s="116" t="s">
        <v>116</v>
      </c>
      <c r="C103" s="133">
        <v>231</v>
      </c>
      <c r="D103" s="133">
        <v>0</v>
      </c>
      <c r="E103" s="133">
        <f t="shared" si="14"/>
        <v>-231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220</v>
      </c>
      <c r="D104" s="133">
        <v>189</v>
      </c>
      <c r="E104" s="133">
        <f t="shared" si="14"/>
        <v>-31</v>
      </c>
      <c r="F104" s="114">
        <f t="shared" si="15"/>
        <v>-0.1409090909090909</v>
      </c>
    </row>
    <row r="105" spans="1:6" x14ac:dyDescent="0.2">
      <c r="A105" s="115">
        <v>6</v>
      </c>
      <c r="B105" s="116" t="s">
        <v>118</v>
      </c>
      <c r="C105" s="133">
        <v>169</v>
      </c>
      <c r="D105" s="133">
        <v>127</v>
      </c>
      <c r="E105" s="133">
        <f t="shared" si="14"/>
        <v>-42</v>
      </c>
      <c r="F105" s="114">
        <f t="shared" si="15"/>
        <v>-0.24852071005917159</v>
      </c>
    </row>
    <row r="106" spans="1:6" x14ac:dyDescent="0.2">
      <c r="A106" s="115">
        <v>7</v>
      </c>
      <c r="B106" s="116" t="s">
        <v>119</v>
      </c>
      <c r="C106" s="133">
        <v>3433</v>
      </c>
      <c r="D106" s="133">
        <v>3208</v>
      </c>
      <c r="E106" s="133">
        <f t="shared" si="14"/>
        <v>-225</v>
      </c>
      <c r="F106" s="114">
        <f t="shared" si="15"/>
        <v>-6.5540343722691519E-2</v>
      </c>
    </row>
    <row r="107" spans="1:6" x14ac:dyDescent="0.2">
      <c r="A107" s="115">
        <v>8</v>
      </c>
      <c r="B107" s="116" t="s">
        <v>120</v>
      </c>
      <c r="C107" s="133">
        <v>110</v>
      </c>
      <c r="D107" s="133">
        <v>87</v>
      </c>
      <c r="E107" s="133">
        <f t="shared" si="14"/>
        <v>-23</v>
      </c>
      <c r="F107" s="114">
        <f t="shared" si="15"/>
        <v>-0.20909090909090908</v>
      </c>
    </row>
    <row r="108" spans="1:6" x14ac:dyDescent="0.2">
      <c r="A108" s="115">
        <v>9</v>
      </c>
      <c r="B108" s="116" t="s">
        <v>121</v>
      </c>
      <c r="C108" s="133">
        <v>124</v>
      </c>
      <c r="D108" s="133">
        <v>132</v>
      </c>
      <c r="E108" s="133">
        <f t="shared" si="14"/>
        <v>8</v>
      </c>
      <c r="F108" s="114">
        <f t="shared" si="15"/>
        <v>6.4516129032258063E-2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61</v>
      </c>
      <c r="D110" s="133">
        <v>68</v>
      </c>
      <c r="E110" s="133">
        <f t="shared" si="14"/>
        <v>7</v>
      </c>
      <c r="F110" s="114">
        <f t="shared" si="15"/>
        <v>0.11475409836065574</v>
      </c>
    </row>
    <row r="111" spans="1:6" ht="15.75" x14ac:dyDescent="0.25">
      <c r="A111" s="117"/>
      <c r="B111" s="118" t="s">
        <v>138</v>
      </c>
      <c r="C111" s="134">
        <f>SUM(C100:C110)</f>
        <v>11911</v>
      </c>
      <c r="D111" s="134">
        <f>SUM(D100:D110)</f>
        <v>11396</v>
      </c>
      <c r="E111" s="134">
        <f t="shared" si="14"/>
        <v>-515</v>
      </c>
      <c r="F111" s="120">
        <f t="shared" si="15"/>
        <v>-4.3237343631936868E-2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23639</v>
      </c>
      <c r="D113" s="133">
        <v>23358</v>
      </c>
      <c r="E113" s="133">
        <f t="shared" ref="E113:E124" si="16">D113-C113</f>
        <v>-281</v>
      </c>
      <c r="F113" s="114">
        <f t="shared" ref="F113:F124" si="17">IF(C113=0,0,E113/C113)</f>
        <v>-1.1887135665637294E-2</v>
      </c>
    </row>
    <row r="114" spans="1:6" x14ac:dyDescent="0.2">
      <c r="A114" s="115">
        <v>2</v>
      </c>
      <c r="B114" s="116" t="s">
        <v>114</v>
      </c>
      <c r="C114" s="133">
        <v>3279</v>
      </c>
      <c r="D114" s="133">
        <v>3362</v>
      </c>
      <c r="E114" s="133">
        <f t="shared" si="16"/>
        <v>83</v>
      </c>
      <c r="F114" s="114">
        <f t="shared" si="17"/>
        <v>2.5312595303446171E-2</v>
      </c>
    </row>
    <row r="115" spans="1:6" x14ac:dyDescent="0.2">
      <c r="A115" s="115">
        <v>3</v>
      </c>
      <c r="B115" s="116" t="s">
        <v>115</v>
      </c>
      <c r="C115" s="133">
        <v>8064</v>
      </c>
      <c r="D115" s="133">
        <v>9062</v>
      </c>
      <c r="E115" s="133">
        <f t="shared" si="16"/>
        <v>998</v>
      </c>
      <c r="F115" s="114">
        <f t="shared" si="17"/>
        <v>0.12375992063492064</v>
      </c>
    </row>
    <row r="116" spans="1:6" x14ac:dyDescent="0.2">
      <c r="A116" s="115">
        <v>4</v>
      </c>
      <c r="B116" s="116" t="s">
        <v>116</v>
      </c>
      <c r="C116" s="133">
        <v>748</v>
      </c>
      <c r="D116" s="133">
        <v>0</v>
      </c>
      <c r="E116" s="133">
        <f t="shared" si="16"/>
        <v>-748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636</v>
      </c>
      <c r="D117" s="133">
        <v>494</v>
      </c>
      <c r="E117" s="133">
        <f t="shared" si="16"/>
        <v>-142</v>
      </c>
      <c r="F117" s="114">
        <f t="shared" si="17"/>
        <v>-0.22327044025157233</v>
      </c>
    </row>
    <row r="118" spans="1:6" x14ac:dyDescent="0.2">
      <c r="A118" s="115">
        <v>6</v>
      </c>
      <c r="B118" s="116" t="s">
        <v>118</v>
      </c>
      <c r="C118" s="133">
        <v>584</v>
      </c>
      <c r="D118" s="133">
        <v>406</v>
      </c>
      <c r="E118" s="133">
        <f t="shared" si="16"/>
        <v>-178</v>
      </c>
      <c r="F118" s="114">
        <f t="shared" si="17"/>
        <v>-0.3047945205479452</v>
      </c>
    </row>
    <row r="119" spans="1:6" x14ac:dyDescent="0.2">
      <c r="A119" s="115">
        <v>7</v>
      </c>
      <c r="B119" s="116" t="s">
        <v>119</v>
      </c>
      <c r="C119" s="133">
        <v>11225</v>
      </c>
      <c r="D119" s="133">
        <v>10749</v>
      </c>
      <c r="E119" s="133">
        <f t="shared" si="16"/>
        <v>-476</v>
      </c>
      <c r="F119" s="114">
        <f t="shared" si="17"/>
        <v>-4.2405345211581291E-2</v>
      </c>
    </row>
    <row r="120" spans="1:6" x14ac:dyDescent="0.2">
      <c r="A120" s="115">
        <v>8</v>
      </c>
      <c r="B120" s="116" t="s">
        <v>120</v>
      </c>
      <c r="C120" s="133">
        <v>318</v>
      </c>
      <c r="D120" s="133">
        <v>298</v>
      </c>
      <c r="E120" s="133">
        <f t="shared" si="16"/>
        <v>-20</v>
      </c>
      <c r="F120" s="114">
        <f t="shared" si="17"/>
        <v>-6.2893081761006289E-2</v>
      </c>
    </row>
    <row r="121" spans="1:6" x14ac:dyDescent="0.2">
      <c r="A121" s="115">
        <v>9</v>
      </c>
      <c r="B121" s="116" t="s">
        <v>121</v>
      </c>
      <c r="C121" s="133">
        <v>595</v>
      </c>
      <c r="D121" s="133">
        <v>496</v>
      </c>
      <c r="E121" s="133">
        <f t="shared" si="16"/>
        <v>-99</v>
      </c>
      <c r="F121" s="114">
        <f t="shared" si="17"/>
        <v>-0.16638655462184873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273</v>
      </c>
      <c r="D123" s="133">
        <v>240</v>
      </c>
      <c r="E123" s="133">
        <f t="shared" si="16"/>
        <v>-33</v>
      </c>
      <c r="F123" s="114">
        <f t="shared" si="17"/>
        <v>-0.12087912087912088</v>
      </c>
    </row>
    <row r="124" spans="1:6" ht="15.75" x14ac:dyDescent="0.25">
      <c r="A124" s="117"/>
      <c r="B124" s="118" t="s">
        <v>140</v>
      </c>
      <c r="C124" s="134">
        <f>SUM(C113:C123)</f>
        <v>49361</v>
      </c>
      <c r="D124" s="134">
        <f>SUM(D113:D123)</f>
        <v>48465</v>
      </c>
      <c r="E124" s="134">
        <f t="shared" si="16"/>
        <v>-896</v>
      </c>
      <c r="F124" s="120">
        <f t="shared" si="17"/>
        <v>-1.815198233423148E-2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107376</v>
      </c>
      <c r="D126" s="133">
        <v>99970</v>
      </c>
      <c r="E126" s="133">
        <f t="shared" ref="E126:E137" si="18">D126-C126</f>
        <v>-7406</v>
      </c>
      <c r="F126" s="114">
        <f t="shared" ref="F126:F137" si="19">IF(C126=0,0,E126/C126)</f>
        <v>-6.8972582327521972E-2</v>
      </c>
    </row>
    <row r="127" spans="1:6" x14ac:dyDescent="0.2">
      <c r="A127" s="115">
        <v>2</v>
      </c>
      <c r="B127" s="116" t="s">
        <v>114</v>
      </c>
      <c r="C127" s="133">
        <v>13558</v>
      </c>
      <c r="D127" s="133">
        <v>16208</v>
      </c>
      <c r="E127" s="133">
        <f t="shared" si="18"/>
        <v>2650</v>
      </c>
      <c r="F127" s="114">
        <f t="shared" si="19"/>
        <v>0.19545655701430889</v>
      </c>
    </row>
    <row r="128" spans="1:6" x14ac:dyDescent="0.2">
      <c r="A128" s="115">
        <v>3</v>
      </c>
      <c r="B128" s="116" t="s">
        <v>115</v>
      </c>
      <c r="C128" s="133">
        <v>62474</v>
      </c>
      <c r="D128" s="133">
        <v>76626</v>
      </c>
      <c r="E128" s="133">
        <f t="shared" si="18"/>
        <v>14152</v>
      </c>
      <c r="F128" s="114">
        <f t="shared" si="19"/>
        <v>0.22652623491372412</v>
      </c>
    </row>
    <row r="129" spans="1:6" x14ac:dyDescent="0.2">
      <c r="A129" s="115">
        <v>4</v>
      </c>
      <c r="B129" s="116" t="s">
        <v>116</v>
      </c>
      <c r="C129" s="133">
        <v>6719</v>
      </c>
      <c r="D129" s="133">
        <v>0</v>
      </c>
      <c r="E129" s="133">
        <f t="shared" si="18"/>
        <v>-6719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6716</v>
      </c>
      <c r="D130" s="133">
        <v>6563</v>
      </c>
      <c r="E130" s="133">
        <f t="shared" si="18"/>
        <v>-153</v>
      </c>
      <c r="F130" s="114">
        <f t="shared" si="19"/>
        <v>-2.2781417510422872E-2</v>
      </c>
    </row>
    <row r="131" spans="1:6" x14ac:dyDescent="0.2">
      <c r="A131" s="115">
        <v>6</v>
      </c>
      <c r="B131" s="116" t="s">
        <v>118</v>
      </c>
      <c r="C131" s="133">
        <v>7380</v>
      </c>
      <c r="D131" s="133">
        <v>8622</v>
      </c>
      <c r="E131" s="133">
        <f t="shared" si="18"/>
        <v>1242</v>
      </c>
      <c r="F131" s="114">
        <f t="shared" si="19"/>
        <v>0.16829268292682928</v>
      </c>
    </row>
    <row r="132" spans="1:6" x14ac:dyDescent="0.2">
      <c r="A132" s="115">
        <v>7</v>
      </c>
      <c r="B132" s="116" t="s">
        <v>119</v>
      </c>
      <c r="C132" s="133">
        <v>166630</v>
      </c>
      <c r="D132" s="133">
        <v>163854</v>
      </c>
      <c r="E132" s="133">
        <f t="shared" si="18"/>
        <v>-2776</v>
      </c>
      <c r="F132" s="114">
        <f t="shared" si="19"/>
        <v>-1.6659665126327793E-2</v>
      </c>
    </row>
    <row r="133" spans="1:6" x14ac:dyDescent="0.2">
      <c r="A133" s="115">
        <v>8</v>
      </c>
      <c r="B133" s="116" t="s">
        <v>120</v>
      </c>
      <c r="C133" s="133">
        <v>4310</v>
      </c>
      <c r="D133" s="133">
        <v>3955</v>
      </c>
      <c r="E133" s="133">
        <f t="shared" si="18"/>
        <v>-355</v>
      </c>
      <c r="F133" s="114">
        <f t="shared" si="19"/>
        <v>-8.2366589327146175E-2</v>
      </c>
    </row>
    <row r="134" spans="1:6" x14ac:dyDescent="0.2">
      <c r="A134" s="115">
        <v>9</v>
      </c>
      <c r="B134" s="116" t="s">
        <v>121</v>
      </c>
      <c r="C134" s="133">
        <v>13704</v>
      </c>
      <c r="D134" s="133">
        <v>13537</v>
      </c>
      <c r="E134" s="133">
        <f t="shared" si="18"/>
        <v>-167</v>
      </c>
      <c r="F134" s="114">
        <f t="shared" si="19"/>
        <v>-1.218622300058377E-2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832</v>
      </c>
      <c r="D136" s="133">
        <v>781</v>
      </c>
      <c r="E136" s="133">
        <f t="shared" si="18"/>
        <v>-51</v>
      </c>
      <c r="F136" s="114">
        <f t="shared" si="19"/>
        <v>-6.129807692307692E-2</v>
      </c>
    </row>
    <row r="137" spans="1:6" ht="15.75" x14ac:dyDescent="0.25">
      <c r="A137" s="117"/>
      <c r="B137" s="118" t="s">
        <v>142</v>
      </c>
      <c r="C137" s="134">
        <f>SUM(C126:C136)</f>
        <v>389699</v>
      </c>
      <c r="D137" s="134">
        <f>SUM(D126:D136)</f>
        <v>390116</v>
      </c>
      <c r="E137" s="134">
        <f t="shared" si="18"/>
        <v>417</v>
      </c>
      <c r="F137" s="120">
        <f t="shared" si="19"/>
        <v>1.0700566334529984E-3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18359534</v>
      </c>
      <c r="D142" s="113">
        <v>18646974</v>
      </c>
      <c r="E142" s="113">
        <f t="shared" ref="E142:E153" si="20">D142-C142</f>
        <v>287440</v>
      </c>
      <c r="F142" s="114">
        <f t="shared" ref="F142:F153" si="21">IF(C142=0,0,E142/C142)</f>
        <v>1.5656170793877447E-2</v>
      </c>
    </row>
    <row r="143" spans="1:6" x14ac:dyDescent="0.2">
      <c r="A143" s="115">
        <v>2</v>
      </c>
      <c r="B143" s="116" t="s">
        <v>114</v>
      </c>
      <c r="C143" s="113">
        <v>2423726</v>
      </c>
      <c r="D143" s="113">
        <v>2809238</v>
      </c>
      <c r="E143" s="113">
        <f t="shared" si="20"/>
        <v>385512</v>
      </c>
      <c r="F143" s="114">
        <f t="shared" si="21"/>
        <v>0.15905758324167005</v>
      </c>
    </row>
    <row r="144" spans="1:6" x14ac:dyDescent="0.2">
      <c r="A144" s="115">
        <v>3</v>
      </c>
      <c r="B144" s="116" t="s">
        <v>115</v>
      </c>
      <c r="C144" s="113">
        <v>35650231</v>
      </c>
      <c r="D144" s="113">
        <v>31476126</v>
      </c>
      <c r="E144" s="113">
        <f t="shared" si="20"/>
        <v>-4174105</v>
      </c>
      <c r="F144" s="114">
        <f t="shared" si="21"/>
        <v>-0.1170849355786783</v>
      </c>
    </row>
    <row r="145" spans="1:6" x14ac:dyDescent="0.2">
      <c r="A145" s="115">
        <v>4</v>
      </c>
      <c r="B145" s="116" t="s">
        <v>116</v>
      </c>
      <c r="C145" s="113">
        <v>3914200</v>
      </c>
      <c r="D145" s="113">
        <v>0</v>
      </c>
      <c r="E145" s="113">
        <f t="shared" si="20"/>
        <v>-3914200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2260380</v>
      </c>
      <c r="D146" s="113">
        <v>2209431</v>
      </c>
      <c r="E146" s="113">
        <f t="shared" si="20"/>
        <v>-50949</v>
      </c>
      <c r="F146" s="114">
        <f t="shared" si="21"/>
        <v>-2.254001539564144E-2</v>
      </c>
    </row>
    <row r="147" spans="1:6" x14ac:dyDescent="0.2">
      <c r="A147" s="115">
        <v>6</v>
      </c>
      <c r="B147" s="116" t="s">
        <v>118</v>
      </c>
      <c r="C147" s="113">
        <v>2953979</v>
      </c>
      <c r="D147" s="113">
        <v>2741393</v>
      </c>
      <c r="E147" s="113">
        <f t="shared" si="20"/>
        <v>-212586</v>
      </c>
      <c r="F147" s="114">
        <f t="shared" si="21"/>
        <v>-7.1965982154917146E-2</v>
      </c>
    </row>
    <row r="148" spans="1:6" x14ac:dyDescent="0.2">
      <c r="A148" s="115">
        <v>7</v>
      </c>
      <c r="B148" s="116" t="s">
        <v>119</v>
      </c>
      <c r="C148" s="113">
        <v>29633311</v>
      </c>
      <c r="D148" s="113">
        <v>27775579</v>
      </c>
      <c r="E148" s="113">
        <f t="shared" si="20"/>
        <v>-1857732</v>
      </c>
      <c r="F148" s="114">
        <f t="shared" si="21"/>
        <v>-6.2690665919849453E-2</v>
      </c>
    </row>
    <row r="149" spans="1:6" x14ac:dyDescent="0.2">
      <c r="A149" s="115">
        <v>8</v>
      </c>
      <c r="B149" s="116" t="s">
        <v>120</v>
      </c>
      <c r="C149" s="113">
        <v>1534595</v>
      </c>
      <c r="D149" s="113">
        <v>1361822</v>
      </c>
      <c r="E149" s="113">
        <f t="shared" si="20"/>
        <v>-172773</v>
      </c>
      <c r="F149" s="114">
        <f t="shared" si="21"/>
        <v>-0.11258540526979431</v>
      </c>
    </row>
    <row r="150" spans="1:6" x14ac:dyDescent="0.2">
      <c r="A150" s="115">
        <v>9</v>
      </c>
      <c r="B150" s="116" t="s">
        <v>121</v>
      </c>
      <c r="C150" s="113">
        <v>6973359</v>
      </c>
      <c r="D150" s="113">
        <v>6391147</v>
      </c>
      <c r="E150" s="113">
        <f t="shared" si="20"/>
        <v>-582212</v>
      </c>
      <c r="F150" s="114">
        <f t="shared" si="21"/>
        <v>-8.349089728493829E-2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323101</v>
      </c>
      <c r="D152" s="113">
        <v>790310</v>
      </c>
      <c r="E152" s="113">
        <f t="shared" si="20"/>
        <v>467209</v>
      </c>
      <c r="F152" s="114">
        <f t="shared" si="21"/>
        <v>1.446015332666875</v>
      </c>
    </row>
    <row r="153" spans="1:6" ht="33.75" customHeight="1" x14ac:dyDescent="0.25">
      <c r="A153" s="117"/>
      <c r="B153" s="118" t="s">
        <v>146</v>
      </c>
      <c r="C153" s="119">
        <f>SUM(C142:C152)</f>
        <v>104026416</v>
      </c>
      <c r="D153" s="119">
        <f>SUM(D142:D152)</f>
        <v>94202020</v>
      </c>
      <c r="E153" s="119">
        <f t="shared" si="20"/>
        <v>-9824396</v>
      </c>
      <c r="F153" s="120">
        <f t="shared" si="21"/>
        <v>-9.4441358048901733E-2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4350816</v>
      </c>
      <c r="D155" s="113">
        <v>4142762</v>
      </c>
      <c r="E155" s="113">
        <f t="shared" ref="E155:E166" si="22">D155-C155</f>
        <v>-208054</v>
      </c>
      <c r="F155" s="114">
        <f t="shared" ref="F155:F166" si="23">IF(C155=0,0,E155/C155)</f>
        <v>-4.7819535461853593E-2</v>
      </c>
    </row>
    <row r="156" spans="1:6" x14ac:dyDescent="0.2">
      <c r="A156" s="115">
        <v>2</v>
      </c>
      <c r="B156" s="116" t="s">
        <v>114</v>
      </c>
      <c r="C156" s="113">
        <v>592367</v>
      </c>
      <c r="D156" s="113">
        <v>639228</v>
      </c>
      <c r="E156" s="113">
        <f t="shared" si="22"/>
        <v>46861</v>
      </c>
      <c r="F156" s="114">
        <f t="shared" si="23"/>
        <v>7.9108052946906232E-2</v>
      </c>
    </row>
    <row r="157" spans="1:6" x14ac:dyDescent="0.2">
      <c r="A157" s="115">
        <v>3</v>
      </c>
      <c r="B157" s="116" t="s">
        <v>115</v>
      </c>
      <c r="C157" s="113">
        <v>6355813</v>
      </c>
      <c r="D157" s="113">
        <v>7433339</v>
      </c>
      <c r="E157" s="113">
        <f t="shared" si="22"/>
        <v>1077526</v>
      </c>
      <c r="F157" s="114">
        <f t="shared" si="23"/>
        <v>0.16953393688580831</v>
      </c>
    </row>
    <row r="158" spans="1:6" x14ac:dyDescent="0.2">
      <c r="A158" s="115">
        <v>4</v>
      </c>
      <c r="B158" s="116" t="s">
        <v>116</v>
      </c>
      <c r="C158" s="113">
        <v>1050728</v>
      </c>
      <c r="D158" s="113">
        <v>0</v>
      </c>
      <c r="E158" s="113">
        <f t="shared" si="22"/>
        <v>-1050728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710317</v>
      </c>
      <c r="D159" s="113">
        <v>615798</v>
      </c>
      <c r="E159" s="113">
        <f t="shared" si="22"/>
        <v>-94519</v>
      </c>
      <c r="F159" s="114">
        <f t="shared" si="23"/>
        <v>-0.13306594098128019</v>
      </c>
    </row>
    <row r="160" spans="1:6" x14ac:dyDescent="0.2">
      <c r="A160" s="115">
        <v>6</v>
      </c>
      <c r="B160" s="116" t="s">
        <v>118</v>
      </c>
      <c r="C160" s="113">
        <v>2377226</v>
      </c>
      <c r="D160" s="113">
        <v>2157645</v>
      </c>
      <c r="E160" s="113">
        <f t="shared" si="22"/>
        <v>-219581</v>
      </c>
      <c r="F160" s="114">
        <f t="shared" si="23"/>
        <v>-9.2368584223796985E-2</v>
      </c>
    </row>
    <row r="161" spans="1:6" x14ac:dyDescent="0.2">
      <c r="A161" s="115">
        <v>7</v>
      </c>
      <c r="B161" s="116" t="s">
        <v>119</v>
      </c>
      <c r="C161" s="113">
        <v>21857829</v>
      </c>
      <c r="D161" s="113">
        <v>20723758</v>
      </c>
      <c r="E161" s="113">
        <f t="shared" si="22"/>
        <v>-1134071</v>
      </c>
      <c r="F161" s="114">
        <f t="shared" si="23"/>
        <v>-5.1883972557384361E-2</v>
      </c>
    </row>
    <row r="162" spans="1:6" x14ac:dyDescent="0.2">
      <c r="A162" s="115">
        <v>8</v>
      </c>
      <c r="B162" s="116" t="s">
        <v>120</v>
      </c>
      <c r="C162" s="113">
        <v>1242975</v>
      </c>
      <c r="D162" s="113">
        <v>1116905</v>
      </c>
      <c r="E162" s="113">
        <f t="shared" si="22"/>
        <v>-126070</v>
      </c>
      <c r="F162" s="114">
        <f t="shared" si="23"/>
        <v>-0.10142601419980289</v>
      </c>
    </row>
    <row r="163" spans="1:6" x14ac:dyDescent="0.2">
      <c r="A163" s="115">
        <v>9</v>
      </c>
      <c r="B163" s="116" t="s">
        <v>121</v>
      </c>
      <c r="C163" s="113">
        <v>1322564</v>
      </c>
      <c r="D163" s="113">
        <v>1056074</v>
      </c>
      <c r="E163" s="113">
        <f t="shared" si="22"/>
        <v>-266490</v>
      </c>
      <c r="F163" s="114">
        <f t="shared" si="23"/>
        <v>-0.2014949749123672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58164</v>
      </c>
      <c r="D165" s="113">
        <v>143881</v>
      </c>
      <c r="E165" s="113">
        <f t="shared" si="22"/>
        <v>85717</v>
      </c>
      <c r="F165" s="114">
        <f t="shared" si="23"/>
        <v>1.4737122618802008</v>
      </c>
    </row>
    <row r="166" spans="1:6" ht="33.75" customHeight="1" x14ac:dyDescent="0.25">
      <c r="A166" s="117"/>
      <c r="B166" s="118" t="s">
        <v>148</v>
      </c>
      <c r="C166" s="119">
        <f>SUM(C155:C165)</f>
        <v>39918799</v>
      </c>
      <c r="D166" s="119">
        <f>SUM(D155:D165)</f>
        <v>38029390</v>
      </c>
      <c r="E166" s="119">
        <f t="shared" si="22"/>
        <v>-1889409</v>
      </c>
      <c r="F166" s="120">
        <f t="shared" si="23"/>
        <v>-4.7331308740024967E-2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9926</v>
      </c>
      <c r="D168" s="133">
        <v>12219</v>
      </c>
      <c r="E168" s="133">
        <f t="shared" ref="E168:E179" si="24">D168-C168</f>
        <v>2293</v>
      </c>
      <c r="F168" s="114">
        <f t="shared" ref="F168:F179" si="25">IF(C168=0,0,E168/C168)</f>
        <v>0.2310094700785815</v>
      </c>
    </row>
    <row r="169" spans="1:6" x14ac:dyDescent="0.2">
      <c r="A169" s="115">
        <v>2</v>
      </c>
      <c r="B169" s="116" t="s">
        <v>114</v>
      </c>
      <c r="C169" s="133">
        <v>1018</v>
      </c>
      <c r="D169" s="133">
        <v>1137</v>
      </c>
      <c r="E169" s="133">
        <f t="shared" si="24"/>
        <v>119</v>
      </c>
      <c r="F169" s="114">
        <f t="shared" si="25"/>
        <v>0.1168958742632613</v>
      </c>
    </row>
    <row r="170" spans="1:6" x14ac:dyDescent="0.2">
      <c r="A170" s="115">
        <v>3</v>
      </c>
      <c r="B170" s="116" t="s">
        <v>115</v>
      </c>
      <c r="C170" s="133">
        <v>19976</v>
      </c>
      <c r="D170" s="133">
        <v>28408</v>
      </c>
      <c r="E170" s="133">
        <f t="shared" si="24"/>
        <v>8432</v>
      </c>
      <c r="F170" s="114">
        <f t="shared" si="25"/>
        <v>0.42210652783340008</v>
      </c>
    </row>
    <row r="171" spans="1:6" x14ac:dyDescent="0.2">
      <c r="A171" s="115">
        <v>4</v>
      </c>
      <c r="B171" s="116" t="s">
        <v>116</v>
      </c>
      <c r="C171" s="133">
        <v>2939</v>
      </c>
      <c r="D171" s="133">
        <v>0</v>
      </c>
      <c r="E171" s="133">
        <f t="shared" si="24"/>
        <v>-2939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1534</v>
      </c>
      <c r="D172" s="133">
        <v>1843</v>
      </c>
      <c r="E172" s="133">
        <f t="shared" si="24"/>
        <v>309</v>
      </c>
      <c r="F172" s="114">
        <f t="shared" si="25"/>
        <v>0.20143415906127771</v>
      </c>
    </row>
    <row r="173" spans="1:6" x14ac:dyDescent="0.2">
      <c r="A173" s="115">
        <v>6</v>
      </c>
      <c r="B173" s="116" t="s">
        <v>118</v>
      </c>
      <c r="C173" s="133">
        <v>1586</v>
      </c>
      <c r="D173" s="133">
        <v>1734</v>
      </c>
      <c r="E173" s="133">
        <f t="shared" si="24"/>
        <v>148</v>
      </c>
      <c r="F173" s="114">
        <f t="shared" si="25"/>
        <v>9.3316519546027737E-2</v>
      </c>
    </row>
    <row r="174" spans="1:6" x14ac:dyDescent="0.2">
      <c r="A174" s="115">
        <v>7</v>
      </c>
      <c r="B174" s="116" t="s">
        <v>119</v>
      </c>
      <c r="C174" s="133">
        <v>17327</v>
      </c>
      <c r="D174" s="133">
        <v>19344</v>
      </c>
      <c r="E174" s="133">
        <f t="shared" si="24"/>
        <v>2017</v>
      </c>
      <c r="F174" s="114">
        <f t="shared" si="25"/>
        <v>0.11640791827783228</v>
      </c>
    </row>
    <row r="175" spans="1:6" x14ac:dyDescent="0.2">
      <c r="A175" s="115">
        <v>8</v>
      </c>
      <c r="B175" s="116" t="s">
        <v>120</v>
      </c>
      <c r="C175" s="133">
        <v>1161</v>
      </c>
      <c r="D175" s="133">
        <v>1263</v>
      </c>
      <c r="E175" s="133">
        <f t="shared" si="24"/>
        <v>102</v>
      </c>
      <c r="F175" s="114">
        <f t="shared" si="25"/>
        <v>8.7855297157622733E-2</v>
      </c>
    </row>
    <row r="176" spans="1:6" x14ac:dyDescent="0.2">
      <c r="A176" s="115">
        <v>9</v>
      </c>
      <c r="B176" s="116" t="s">
        <v>121</v>
      </c>
      <c r="C176" s="133">
        <v>4799</v>
      </c>
      <c r="D176" s="133">
        <v>5102</v>
      </c>
      <c r="E176" s="133">
        <f t="shared" si="24"/>
        <v>303</v>
      </c>
      <c r="F176" s="114">
        <f t="shared" si="25"/>
        <v>6.3138153782037923E-2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472</v>
      </c>
      <c r="D178" s="133">
        <v>505</v>
      </c>
      <c r="E178" s="133">
        <f t="shared" si="24"/>
        <v>33</v>
      </c>
      <c r="F178" s="114">
        <f t="shared" si="25"/>
        <v>6.991525423728813E-2</v>
      </c>
    </row>
    <row r="179" spans="1:6" ht="33.75" customHeight="1" x14ac:dyDescent="0.25">
      <c r="A179" s="117"/>
      <c r="B179" s="118" t="s">
        <v>150</v>
      </c>
      <c r="C179" s="134">
        <f>SUM(C168:C178)</f>
        <v>60738</v>
      </c>
      <c r="D179" s="134">
        <f>SUM(D168:D178)</f>
        <v>71555</v>
      </c>
      <c r="E179" s="134">
        <f t="shared" si="24"/>
        <v>10817</v>
      </c>
      <c r="F179" s="120">
        <f t="shared" si="25"/>
        <v>0.17809279199183378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41141324</v>
      </c>
      <c r="D15" s="157">
        <v>40513043</v>
      </c>
      <c r="E15" s="157">
        <f>+D15-C15</f>
        <v>-628281</v>
      </c>
      <c r="F15" s="161">
        <f>IF(C15=0,0,E15/C15)</f>
        <v>-1.5271287817572424E-2</v>
      </c>
    </row>
    <row r="16" spans="1:6" ht="15" customHeight="1" x14ac:dyDescent="0.2">
      <c r="A16" s="147">
        <v>2</v>
      </c>
      <c r="B16" s="160" t="s">
        <v>157</v>
      </c>
      <c r="C16" s="157">
        <v>10294416</v>
      </c>
      <c r="D16" s="157">
        <v>12360010</v>
      </c>
      <c r="E16" s="157">
        <f>+D16-C16</f>
        <v>2065594</v>
      </c>
      <c r="F16" s="161">
        <f>IF(C16=0,0,E16/C16)</f>
        <v>0.20065188739215511</v>
      </c>
    </row>
    <row r="17" spans="1:6" ht="15" customHeight="1" x14ac:dyDescent="0.2">
      <c r="A17" s="147">
        <v>3</v>
      </c>
      <c r="B17" s="160" t="s">
        <v>158</v>
      </c>
      <c r="C17" s="157">
        <v>60931073</v>
      </c>
      <c r="D17" s="157">
        <v>62652464</v>
      </c>
      <c r="E17" s="157">
        <f>+D17-C17</f>
        <v>1721391</v>
      </c>
      <c r="F17" s="161">
        <f>IF(C17=0,0,E17/C17)</f>
        <v>2.8251447336238442E-2</v>
      </c>
    </row>
    <row r="18" spans="1:6" ht="15.75" customHeight="1" x14ac:dyDescent="0.25">
      <c r="A18" s="147"/>
      <c r="B18" s="162" t="s">
        <v>159</v>
      </c>
      <c r="C18" s="158">
        <f>SUM(C15:C17)</f>
        <v>112366813</v>
      </c>
      <c r="D18" s="158">
        <f>SUM(D15:D17)</f>
        <v>115525517</v>
      </c>
      <c r="E18" s="158">
        <f>+D18-C18</f>
        <v>3158704</v>
      </c>
      <c r="F18" s="159">
        <f>IF(C18=0,0,E18/C18)</f>
        <v>2.8110648648547149E-2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9543566</v>
      </c>
      <c r="D21" s="157">
        <v>6901497</v>
      </c>
      <c r="E21" s="157">
        <f>+D21-C21</f>
        <v>-2642069</v>
      </c>
      <c r="F21" s="161">
        <f>IF(C21=0,0,E21/C21)</f>
        <v>-0.27684295367161499</v>
      </c>
    </row>
    <row r="22" spans="1:6" ht="15" customHeight="1" x14ac:dyDescent="0.2">
      <c r="A22" s="147">
        <v>2</v>
      </c>
      <c r="B22" s="160" t="s">
        <v>162</v>
      </c>
      <c r="C22" s="157">
        <v>1260567</v>
      </c>
      <c r="D22" s="157">
        <v>2034733</v>
      </c>
      <c r="E22" s="157">
        <f>+D22-C22</f>
        <v>774166</v>
      </c>
      <c r="F22" s="161">
        <f>IF(C22=0,0,E22/C22)</f>
        <v>0.61414109682388962</v>
      </c>
    </row>
    <row r="23" spans="1:6" ht="15" customHeight="1" x14ac:dyDescent="0.2">
      <c r="A23" s="147">
        <v>3</v>
      </c>
      <c r="B23" s="160" t="s">
        <v>163</v>
      </c>
      <c r="C23" s="157">
        <v>21204157</v>
      </c>
      <c r="D23" s="157">
        <v>17944384</v>
      </c>
      <c r="E23" s="157">
        <f>+D23-C23</f>
        <v>-3259773</v>
      </c>
      <c r="F23" s="161">
        <f>IF(C23=0,0,E23/C23)</f>
        <v>-0.15373273269010412</v>
      </c>
    </row>
    <row r="24" spans="1:6" ht="15.75" customHeight="1" x14ac:dyDescent="0.25">
      <c r="A24" s="147"/>
      <c r="B24" s="162" t="s">
        <v>164</v>
      </c>
      <c r="C24" s="158">
        <f>SUM(C21:C23)</f>
        <v>32008290</v>
      </c>
      <c r="D24" s="158">
        <f>SUM(D21:D23)</f>
        <v>26880614</v>
      </c>
      <c r="E24" s="158">
        <f>+D24-C24</f>
        <v>-5127676</v>
      </c>
      <c r="F24" s="159">
        <f>IF(C24=0,0,E24/C24)</f>
        <v>-0.16019837360883696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1634865</v>
      </c>
      <c r="D27" s="157">
        <v>490312</v>
      </c>
      <c r="E27" s="157">
        <f>+D27-C27</f>
        <v>-1144553</v>
      </c>
      <c r="F27" s="161">
        <f>IF(C27=0,0,E27/C27)</f>
        <v>-0.70009022151676137</v>
      </c>
    </row>
    <row r="28" spans="1:6" ht="15" customHeight="1" x14ac:dyDescent="0.2">
      <c r="A28" s="147">
        <v>2</v>
      </c>
      <c r="B28" s="160" t="s">
        <v>167</v>
      </c>
      <c r="C28" s="157">
        <v>1773524</v>
      </c>
      <c r="D28" s="157">
        <v>1727329</v>
      </c>
      <c r="E28" s="157">
        <f>+D28-C28</f>
        <v>-46195</v>
      </c>
      <c r="F28" s="161">
        <f>IF(C28=0,0,E28/C28)</f>
        <v>-2.6047011486734883E-2</v>
      </c>
    </row>
    <row r="29" spans="1:6" ht="15" customHeight="1" x14ac:dyDescent="0.2">
      <c r="A29" s="147">
        <v>3</v>
      </c>
      <c r="B29" s="160" t="s">
        <v>168</v>
      </c>
      <c r="C29" s="157">
        <v>6489941</v>
      </c>
      <c r="D29" s="157">
        <v>5573956</v>
      </c>
      <c r="E29" s="157">
        <f>+D29-C29</f>
        <v>-915985</v>
      </c>
      <c r="F29" s="161">
        <f>IF(C29=0,0,E29/C29)</f>
        <v>-0.14113918755193613</v>
      </c>
    </row>
    <row r="30" spans="1:6" ht="15.75" customHeight="1" x14ac:dyDescent="0.25">
      <c r="A30" s="147"/>
      <c r="B30" s="162" t="s">
        <v>169</v>
      </c>
      <c r="C30" s="158">
        <f>SUM(C27:C29)</f>
        <v>9898330</v>
      </c>
      <c r="D30" s="158">
        <f>SUM(D27:D29)</f>
        <v>7791597</v>
      </c>
      <c r="E30" s="158">
        <f>+D30-C30</f>
        <v>-2106733</v>
      </c>
      <c r="F30" s="159">
        <f>IF(C30=0,0,E30/C30)</f>
        <v>-0.21283721597481595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24766385</v>
      </c>
      <c r="D33" s="157">
        <v>24292212</v>
      </c>
      <c r="E33" s="157">
        <f>+D33-C33</f>
        <v>-474173</v>
      </c>
      <c r="F33" s="161">
        <f>IF(C33=0,0,E33/C33)</f>
        <v>-1.9145830124178396E-2</v>
      </c>
    </row>
    <row r="34" spans="1:6" ht="15" customHeight="1" x14ac:dyDescent="0.2">
      <c r="A34" s="147">
        <v>2</v>
      </c>
      <c r="B34" s="160" t="s">
        <v>173</v>
      </c>
      <c r="C34" s="157">
        <v>12139873</v>
      </c>
      <c r="D34" s="157">
        <v>12613173</v>
      </c>
      <c r="E34" s="157">
        <f>+D34-C34</f>
        <v>473300</v>
      </c>
      <c r="F34" s="161">
        <f>IF(C34=0,0,E34/C34)</f>
        <v>3.8987228284842849E-2</v>
      </c>
    </row>
    <row r="35" spans="1:6" ht="15.75" customHeight="1" x14ac:dyDescent="0.25">
      <c r="A35" s="147"/>
      <c r="B35" s="162" t="s">
        <v>174</v>
      </c>
      <c r="C35" s="158">
        <f>SUM(C33:C34)</f>
        <v>36906258</v>
      </c>
      <c r="D35" s="158">
        <f>SUM(D33:D34)</f>
        <v>36905385</v>
      </c>
      <c r="E35" s="158">
        <f>+D35-C35</f>
        <v>-873</v>
      </c>
      <c r="F35" s="159">
        <f>IF(C35=0,0,E35/C35)</f>
        <v>-2.365452493178799E-5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9033362</v>
      </c>
      <c r="D38" s="157">
        <v>9093241</v>
      </c>
      <c r="E38" s="157">
        <f>+D38-C38</f>
        <v>59879</v>
      </c>
      <c r="F38" s="161">
        <f>IF(C38=0,0,E38/C38)</f>
        <v>6.6286505511458527E-3</v>
      </c>
    </row>
    <row r="39" spans="1:6" ht="15" customHeight="1" x14ac:dyDescent="0.2">
      <c r="A39" s="147">
        <v>2</v>
      </c>
      <c r="B39" s="160" t="s">
        <v>178</v>
      </c>
      <c r="C39" s="157">
        <v>8885262</v>
      </c>
      <c r="D39" s="157">
        <v>6357134</v>
      </c>
      <c r="E39" s="157">
        <f>+D39-C39</f>
        <v>-2528128</v>
      </c>
      <c r="F39" s="161">
        <f>IF(C39=0,0,E39/C39)</f>
        <v>-0.28453049555544901</v>
      </c>
    </row>
    <row r="40" spans="1:6" ht="15" customHeight="1" x14ac:dyDescent="0.2">
      <c r="A40" s="147">
        <v>3</v>
      </c>
      <c r="B40" s="160" t="s">
        <v>179</v>
      </c>
      <c r="C40" s="157">
        <v>87571</v>
      </c>
      <c r="D40" s="157">
        <v>73256</v>
      </c>
      <c r="E40" s="157">
        <f>+D40-C40</f>
        <v>-14315</v>
      </c>
      <c r="F40" s="161">
        <f>IF(C40=0,0,E40/C40)</f>
        <v>-0.1634673579152916</v>
      </c>
    </row>
    <row r="41" spans="1:6" ht="15.75" customHeight="1" x14ac:dyDescent="0.25">
      <c r="A41" s="147"/>
      <c r="B41" s="162" t="s">
        <v>180</v>
      </c>
      <c r="C41" s="158">
        <f>SUM(C38:C40)</f>
        <v>18006195</v>
      </c>
      <c r="D41" s="158">
        <f>SUM(D38:D40)</f>
        <v>15523631</v>
      </c>
      <c r="E41" s="158">
        <f>+D41-C41</f>
        <v>-2482564</v>
      </c>
      <c r="F41" s="159">
        <f>IF(C41=0,0,E41/C41)</f>
        <v>-0.13787277101019954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7949694</v>
      </c>
      <c r="D44" s="157">
        <v>0</v>
      </c>
      <c r="E44" s="157">
        <f>+D44-C44</f>
        <v>-7949694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3276169</v>
      </c>
      <c r="D47" s="157">
        <v>3375173</v>
      </c>
      <c r="E47" s="157">
        <f>+D47-C47</f>
        <v>99004</v>
      </c>
      <c r="F47" s="161">
        <f>IF(C47=0,0,E47/C47)</f>
        <v>3.0219442281518443E-2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1295901</v>
      </c>
      <c r="D50" s="157">
        <v>4531196</v>
      </c>
      <c r="E50" s="157">
        <f>+D50-C50</f>
        <v>3235295</v>
      </c>
      <c r="F50" s="161">
        <f>IF(C50=0,0,E50/C50)</f>
        <v>2.496560308233422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263657</v>
      </c>
      <c r="D53" s="157">
        <v>277220</v>
      </c>
      <c r="E53" s="157">
        <f t="shared" ref="E53:E59" si="0">+D53-C53</f>
        <v>13563</v>
      </c>
      <c r="F53" s="161">
        <f t="shared" ref="F53:F59" si="1">IF(C53=0,0,E53/C53)</f>
        <v>5.1441835414952002E-2</v>
      </c>
    </row>
    <row r="54" spans="1:6" ht="15" customHeight="1" x14ac:dyDescent="0.2">
      <c r="A54" s="147">
        <v>2</v>
      </c>
      <c r="B54" s="160" t="s">
        <v>189</v>
      </c>
      <c r="C54" s="157">
        <v>1204425</v>
      </c>
      <c r="D54" s="157">
        <v>1271172</v>
      </c>
      <c r="E54" s="157">
        <f t="shared" si="0"/>
        <v>66747</v>
      </c>
      <c r="F54" s="161">
        <f t="shared" si="1"/>
        <v>5.5418145588143723E-2</v>
      </c>
    </row>
    <row r="55" spans="1:6" ht="15" customHeight="1" x14ac:dyDescent="0.2">
      <c r="A55" s="147">
        <v>3</v>
      </c>
      <c r="B55" s="160" t="s">
        <v>190</v>
      </c>
      <c r="C55" s="157">
        <v>40302</v>
      </c>
      <c r="D55" s="157">
        <v>31414</v>
      </c>
      <c r="E55" s="157">
        <f t="shared" si="0"/>
        <v>-8888</v>
      </c>
      <c r="F55" s="161">
        <f t="shared" si="1"/>
        <v>-0.22053496104411691</v>
      </c>
    </row>
    <row r="56" spans="1:6" ht="15" customHeight="1" x14ac:dyDescent="0.2">
      <c r="A56" s="147">
        <v>4</v>
      </c>
      <c r="B56" s="160" t="s">
        <v>191</v>
      </c>
      <c r="C56" s="157">
        <v>3092082</v>
      </c>
      <c r="D56" s="157">
        <v>2527619</v>
      </c>
      <c r="E56" s="157">
        <f t="shared" si="0"/>
        <v>-564463</v>
      </c>
      <c r="F56" s="161">
        <f t="shared" si="1"/>
        <v>-0.18255110957600737</v>
      </c>
    </row>
    <row r="57" spans="1:6" ht="15" customHeight="1" x14ac:dyDescent="0.2">
      <c r="A57" s="147">
        <v>5</v>
      </c>
      <c r="B57" s="160" t="s">
        <v>192</v>
      </c>
      <c r="C57" s="157">
        <v>456335</v>
      </c>
      <c r="D57" s="157">
        <v>419322</v>
      </c>
      <c r="E57" s="157">
        <f t="shared" si="0"/>
        <v>-37013</v>
      </c>
      <c r="F57" s="161">
        <f t="shared" si="1"/>
        <v>-8.1109272793013901E-2</v>
      </c>
    </row>
    <row r="58" spans="1:6" ht="15" customHeight="1" x14ac:dyDescent="0.2">
      <c r="A58" s="147">
        <v>6</v>
      </c>
      <c r="B58" s="160" t="s">
        <v>193</v>
      </c>
      <c r="C58" s="157">
        <v>50268</v>
      </c>
      <c r="D58" s="157">
        <v>70203</v>
      </c>
      <c r="E58" s="157">
        <f t="shared" si="0"/>
        <v>19935</v>
      </c>
      <c r="F58" s="161">
        <f t="shared" si="1"/>
        <v>0.39657436142277391</v>
      </c>
    </row>
    <row r="59" spans="1:6" ht="15.75" customHeight="1" x14ac:dyDescent="0.25">
      <c r="A59" s="147"/>
      <c r="B59" s="162" t="s">
        <v>194</v>
      </c>
      <c r="C59" s="158">
        <f>SUM(C53:C58)</f>
        <v>5107069</v>
      </c>
      <c r="D59" s="158">
        <f>SUM(D53:D58)</f>
        <v>4596950</v>
      </c>
      <c r="E59" s="158">
        <f t="shared" si="0"/>
        <v>-510119</v>
      </c>
      <c r="F59" s="159">
        <f t="shared" si="1"/>
        <v>-9.9884885048547409E-2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415616</v>
      </c>
      <c r="D62" s="157">
        <v>346210</v>
      </c>
      <c r="E62" s="157">
        <f t="shared" ref="E62:E90" si="2">+D62-C62</f>
        <v>-69406</v>
      </c>
      <c r="F62" s="161">
        <f t="shared" ref="F62:F90" si="3">IF(C62=0,0,E62/C62)</f>
        <v>-0.16699549584231599</v>
      </c>
    </row>
    <row r="63" spans="1:6" ht="15" customHeight="1" x14ac:dyDescent="0.2">
      <c r="A63" s="147">
        <v>2</v>
      </c>
      <c r="B63" s="160" t="s">
        <v>198</v>
      </c>
      <c r="C63" s="157">
        <v>2172228</v>
      </c>
      <c r="D63" s="157">
        <v>1478955</v>
      </c>
      <c r="E63" s="157">
        <f t="shared" si="2"/>
        <v>-693273</v>
      </c>
      <c r="F63" s="161">
        <f t="shared" si="3"/>
        <v>-0.31915296184378433</v>
      </c>
    </row>
    <row r="64" spans="1:6" ht="15" customHeight="1" x14ac:dyDescent="0.2">
      <c r="A64" s="147">
        <v>3</v>
      </c>
      <c r="B64" s="160" t="s">
        <v>199</v>
      </c>
      <c r="C64" s="157">
        <v>3622311</v>
      </c>
      <c r="D64" s="157">
        <v>3163978</v>
      </c>
      <c r="E64" s="157">
        <f t="shared" si="2"/>
        <v>-458333</v>
      </c>
      <c r="F64" s="161">
        <f t="shared" si="3"/>
        <v>-0.12653054914390288</v>
      </c>
    </row>
    <row r="65" spans="1:6" ht="15" customHeight="1" x14ac:dyDescent="0.2">
      <c r="A65" s="147">
        <v>4</v>
      </c>
      <c r="B65" s="160" t="s">
        <v>200</v>
      </c>
      <c r="C65" s="157">
        <v>946280</v>
      </c>
      <c r="D65" s="157">
        <v>924543</v>
      </c>
      <c r="E65" s="157">
        <f t="shared" si="2"/>
        <v>-21737</v>
      </c>
      <c r="F65" s="161">
        <f t="shared" si="3"/>
        <v>-2.2971002240351694E-2</v>
      </c>
    </row>
    <row r="66" spans="1:6" ht="15" customHeight="1" x14ac:dyDescent="0.2">
      <c r="A66" s="147">
        <v>5</v>
      </c>
      <c r="B66" s="160" t="s">
        <v>201</v>
      </c>
      <c r="C66" s="157">
        <v>270042</v>
      </c>
      <c r="D66" s="157">
        <v>181057</v>
      </c>
      <c r="E66" s="157">
        <f t="shared" si="2"/>
        <v>-88985</v>
      </c>
      <c r="F66" s="161">
        <f t="shared" si="3"/>
        <v>-0.32952281496952324</v>
      </c>
    </row>
    <row r="67" spans="1:6" ht="15" customHeight="1" x14ac:dyDescent="0.2">
      <c r="A67" s="147">
        <v>6</v>
      </c>
      <c r="B67" s="160" t="s">
        <v>202</v>
      </c>
      <c r="C67" s="157">
        <v>1080500</v>
      </c>
      <c r="D67" s="157">
        <v>1096980</v>
      </c>
      <c r="E67" s="157">
        <f t="shared" si="2"/>
        <v>16480</v>
      </c>
      <c r="F67" s="161">
        <f t="shared" si="3"/>
        <v>1.5252198056455345E-2</v>
      </c>
    </row>
    <row r="68" spans="1:6" ht="15" customHeight="1" x14ac:dyDescent="0.2">
      <c r="A68" s="147">
        <v>7</v>
      </c>
      <c r="B68" s="160" t="s">
        <v>203</v>
      </c>
      <c r="C68" s="157">
        <v>1377016</v>
      </c>
      <c r="D68" s="157">
        <v>1121594</v>
      </c>
      <c r="E68" s="157">
        <f t="shared" si="2"/>
        <v>-255422</v>
      </c>
      <c r="F68" s="161">
        <f t="shared" si="3"/>
        <v>-0.18548949322302719</v>
      </c>
    </row>
    <row r="69" spans="1:6" ht="15" customHeight="1" x14ac:dyDescent="0.2">
      <c r="A69" s="147">
        <v>8</v>
      </c>
      <c r="B69" s="160" t="s">
        <v>204</v>
      </c>
      <c r="C69" s="157">
        <v>359778</v>
      </c>
      <c r="D69" s="157">
        <v>544134</v>
      </c>
      <c r="E69" s="157">
        <f t="shared" si="2"/>
        <v>184356</v>
      </c>
      <c r="F69" s="161">
        <f t="shared" si="3"/>
        <v>0.51241598986041392</v>
      </c>
    </row>
    <row r="70" spans="1:6" ht="15" customHeight="1" x14ac:dyDescent="0.2">
      <c r="A70" s="147">
        <v>9</v>
      </c>
      <c r="B70" s="160" t="s">
        <v>205</v>
      </c>
      <c r="C70" s="157">
        <v>83857</v>
      </c>
      <c r="D70" s="157">
        <v>63291</v>
      </c>
      <c r="E70" s="157">
        <f t="shared" si="2"/>
        <v>-20566</v>
      </c>
      <c r="F70" s="161">
        <f t="shared" si="3"/>
        <v>-0.24525084369820052</v>
      </c>
    </row>
    <row r="71" spans="1:6" ht="15" customHeight="1" x14ac:dyDescent="0.2">
      <c r="A71" s="147">
        <v>10</v>
      </c>
      <c r="B71" s="160" t="s">
        <v>206</v>
      </c>
      <c r="C71" s="157">
        <v>319627</v>
      </c>
      <c r="D71" s="157">
        <v>328946</v>
      </c>
      <c r="E71" s="157">
        <f t="shared" si="2"/>
        <v>9319</v>
      </c>
      <c r="F71" s="161">
        <f t="shared" si="3"/>
        <v>2.9155859799078299E-2</v>
      </c>
    </row>
    <row r="72" spans="1:6" ht="15" customHeight="1" x14ac:dyDescent="0.2">
      <c r="A72" s="147">
        <v>11</v>
      </c>
      <c r="B72" s="160" t="s">
        <v>207</v>
      </c>
      <c r="C72" s="157">
        <v>107279</v>
      </c>
      <c r="D72" s="157">
        <v>175606</v>
      </c>
      <c r="E72" s="157">
        <f t="shared" si="2"/>
        <v>68327</v>
      </c>
      <c r="F72" s="161">
        <f t="shared" si="3"/>
        <v>0.6369093671641235</v>
      </c>
    </row>
    <row r="73" spans="1:6" ht="15" customHeight="1" x14ac:dyDescent="0.2">
      <c r="A73" s="147">
        <v>12</v>
      </c>
      <c r="B73" s="160" t="s">
        <v>208</v>
      </c>
      <c r="C73" s="157">
        <v>1420335</v>
      </c>
      <c r="D73" s="157">
        <v>1156201</v>
      </c>
      <c r="E73" s="157">
        <f t="shared" si="2"/>
        <v>-264134</v>
      </c>
      <c r="F73" s="161">
        <f t="shared" si="3"/>
        <v>-0.1859659868974573</v>
      </c>
    </row>
    <row r="74" spans="1:6" ht="15" customHeight="1" x14ac:dyDescent="0.2">
      <c r="A74" s="147">
        <v>13</v>
      </c>
      <c r="B74" s="160" t="s">
        <v>209</v>
      </c>
      <c r="C74" s="157">
        <v>95919</v>
      </c>
      <c r="D74" s="157">
        <v>104705</v>
      </c>
      <c r="E74" s="157">
        <f t="shared" si="2"/>
        <v>8786</v>
      </c>
      <c r="F74" s="161">
        <f t="shared" si="3"/>
        <v>9.1598119246447521E-2</v>
      </c>
    </row>
    <row r="75" spans="1:6" ht="15" customHeight="1" x14ac:dyDescent="0.2">
      <c r="A75" s="147">
        <v>14</v>
      </c>
      <c r="B75" s="160" t="s">
        <v>210</v>
      </c>
      <c r="C75" s="157">
        <v>791416</v>
      </c>
      <c r="D75" s="157">
        <v>830194</v>
      </c>
      <c r="E75" s="157">
        <f t="shared" si="2"/>
        <v>38778</v>
      </c>
      <c r="F75" s="161">
        <f t="shared" si="3"/>
        <v>4.8998251235759703E-2</v>
      </c>
    </row>
    <row r="76" spans="1:6" ht="15" customHeight="1" x14ac:dyDescent="0.2">
      <c r="A76" s="147">
        <v>15</v>
      </c>
      <c r="B76" s="160" t="s">
        <v>211</v>
      </c>
      <c r="C76" s="157">
        <v>188256</v>
      </c>
      <c r="D76" s="157">
        <v>132452</v>
      </c>
      <c r="E76" s="157">
        <f t="shared" si="2"/>
        <v>-55804</v>
      </c>
      <c r="F76" s="161">
        <f t="shared" si="3"/>
        <v>-0.29642614312425636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2872875</v>
      </c>
      <c r="D78" s="157">
        <v>3287089</v>
      </c>
      <c r="E78" s="157">
        <f t="shared" si="2"/>
        <v>414214</v>
      </c>
      <c r="F78" s="161">
        <f t="shared" si="3"/>
        <v>0.1441810033503024</v>
      </c>
    </row>
    <row r="79" spans="1:6" ht="15" customHeight="1" x14ac:dyDescent="0.2">
      <c r="A79" s="147">
        <v>18</v>
      </c>
      <c r="B79" s="160" t="s">
        <v>214</v>
      </c>
      <c r="C79" s="157">
        <v>672866</v>
      </c>
      <c r="D79" s="157">
        <v>604736</v>
      </c>
      <c r="E79" s="157">
        <f t="shared" si="2"/>
        <v>-68130</v>
      </c>
      <c r="F79" s="161">
        <f t="shared" si="3"/>
        <v>-0.10125344422217797</v>
      </c>
    </row>
    <row r="80" spans="1:6" ht="15" customHeight="1" x14ac:dyDescent="0.2">
      <c r="A80" s="147">
        <v>19</v>
      </c>
      <c r="B80" s="160" t="s">
        <v>215</v>
      </c>
      <c r="C80" s="157">
        <v>1552537</v>
      </c>
      <c r="D80" s="157">
        <v>1569371</v>
      </c>
      <c r="E80" s="157">
        <f t="shared" si="2"/>
        <v>16834</v>
      </c>
      <c r="F80" s="161">
        <f t="shared" si="3"/>
        <v>1.0842897786010898E-2</v>
      </c>
    </row>
    <row r="81" spans="1:6" ht="15" customHeight="1" x14ac:dyDescent="0.2">
      <c r="A81" s="147">
        <v>20</v>
      </c>
      <c r="B81" s="160" t="s">
        <v>216</v>
      </c>
      <c r="C81" s="157">
        <v>3894164</v>
      </c>
      <c r="D81" s="157">
        <v>3706753</v>
      </c>
      <c r="E81" s="157">
        <f t="shared" si="2"/>
        <v>-187411</v>
      </c>
      <c r="F81" s="161">
        <f t="shared" si="3"/>
        <v>-4.812611898214867E-2</v>
      </c>
    </row>
    <row r="82" spans="1:6" ht="15" customHeight="1" x14ac:dyDescent="0.2">
      <c r="A82" s="147">
        <v>21</v>
      </c>
      <c r="B82" s="160" t="s">
        <v>217</v>
      </c>
      <c r="C82" s="157">
        <v>103090</v>
      </c>
      <c r="D82" s="157">
        <v>697554</v>
      </c>
      <c r="E82" s="157">
        <f t="shared" si="2"/>
        <v>594464</v>
      </c>
      <c r="F82" s="161">
        <f t="shared" si="3"/>
        <v>5.7664564943253467</v>
      </c>
    </row>
    <row r="83" spans="1:6" ht="15" customHeight="1" x14ac:dyDescent="0.2">
      <c r="A83" s="147">
        <v>22</v>
      </c>
      <c r="B83" s="160" t="s">
        <v>218</v>
      </c>
      <c r="C83" s="157">
        <v>544055</v>
      </c>
      <c r="D83" s="157">
        <v>478903</v>
      </c>
      <c r="E83" s="157">
        <f t="shared" si="2"/>
        <v>-65152</v>
      </c>
      <c r="F83" s="161">
        <f t="shared" si="3"/>
        <v>-0.11975259854242677</v>
      </c>
    </row>
    <row r="84" spans="1:6" ht="15" customHeight="1" x14ac:dyDescent="0.2">
      <c r="A84" s="147">
        <v>23</v>
      </c>
      <c r="B84" s="160" t="s">
        <v>219</v>
      </c>
      <c r="C84" s="157">
        <v>894106</v>
      </c>
      <c r="D84" s="157">
        <v>882792</v>
      </c>
      <c r="E84" s="157">
        <f t="shared" si="2"/>
        <v>-11314</v>
      </c>
      <c r="F84" s="161">
        <f t="shared" si="3"/>
        <v>-1.265398062422129E-2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230533</v>
      </c>
      <c r="D86" s="157">
        <v>267343</v>
      </c>
      <c r="E86" s="157">
        <f t="shared" si="2"/>
        <v>36810</v>
      </c>
      <c r="F86" s="161">
        <f t="shared" si="3"/>
        <v>0.15967345239076403</v>
      </c>
    </row>
    <row r="87" spans="1:6" ht="15" customHeight="1" x14ac:dyDescent="0.2">
      <c r="A87" s="147">
        <v>26</v>
      </c>
      <c r="B87" s="160" t="s">
        <v>222</v>
      </c>
      <c r="C87" s="157">
        <v>3596645</v>
      </c>
      <c r="D87" s="157">
        <v>3424962</v>
      </c>
      <c r="E87" s="157">
        <f t="shared" si="2"/>
        <v>-171683</v>
      </c>
      <c r="F87" s="161">
        <f t="shared" si="3"/>
        <v>-4.7734207852039884E-2</v>
      </c>
    </row>
    <row r="88" spans="1:6" ht="15" customHeight="1" x14ac:dyDescent="0.2">
      <c r="A88" s="147">
        <v>27</v>
      </c>
      <c r="B88" s="160" t="s">
        <v>223</v>
      </c>
      <c r="C88" s="157">
        <v>4871600</v>
      </c>
      <c r="D88" s="157">
        <v>3398853</v>
      </c>
      <c r="E88" s="157">
        <f t="shared" si="2"/>
        <v>-1472747</v>
      </c>
      <c r="F88" s="161">
        <f t="shared" si="3"/>
        <v>-0.30231279251170046</v>
      </c>
    </row>
    <row r="89" spans="1:6" ht="15" customHeight="1" x14ac:dyDescent="0.2">
      <c r="A89" s="147">
        <v>28</v>
      </c>
      <c r="B89" s="160" t="s">
        <v>224</v>
      </c>
      <c r="C89" s="157">
        <v>4814081</v>
      </c>
      <c r="D89" s="157">
        <v>4837986</v>
      </c>
      <c r="E89" s="157">
        <f t="shared" si="2"/>
        <v>23905</v>
      </c>
      <c r="F89" s="161">
        <f t="shared" si="3"/>
        <v>4.9656414173338591E-3</v>
      </c>
    </row>
    <row r="90" spans="1:6" ht="15.75" customHeight="1" x14ac:dyDescent="0.25">
      <c r="A90" s="147"/>
      <c r="B90" s="162" t="s">
        <v>225</v>
      </c>
      <c r="C90" s="158">
        <f>SUM(C62:C89)</f>
        <v>37297012</v>
      </c>
      <c r="D90" s="158">
        <f>SUM(D62:D89)</f>
        <v>34805188</v>
      </c>
      <c r="E90" s="158">
        <f t="shared" si="2"/>
        <v>-2491824</v>
      </c>
      <c r="F90" s="159">
        <f t="shared" si="3"/>
        <v>-6.6810284963310193E-2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264111731</v>
      </c>
      <c r="D95" s="158">
        <f>+D93+D90+D59+D50+D47+D44+D41+D35+D30+D24+D18</f>
        <v>249935251</v>
      </c>
      <c r="E95" s="158">
        <f>+D95-C95</f>
        <v>-14176480</v>
      </c>
      <c r="F95" s="159">
        <f>IF(C95=0,0,E95/C95)</f>
        <v>-5.3676070905006486E-2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44684977</v>
      </c>
      <c r="D103" s="157">
        <v>36747589</v>
      </c>
      <c r="E103" s="157">
        <f t="shared" ref="E103:E121" si="4">D103-C103</f>
        <v>-7937388</v>
      </c>
      <c r="F103" s="161">
        <f t="shared" ref="F103:F121" si="5">IF(C103=0,0,E103/C103)</f>
        <v>-0.17762990008924029</v>
      </c>
    </row>
    <row r="104" spans="1:6" ht="15" customHeight="1" x14ac:dyDescent="0.2">
      <c r="A104" s="147">
        <v>2</v>
      </c>
      <c r="B104" s="169" t="s">
        <v>234</v>
      </c>
      <c r="C104" s="157">
        <v>1285799</v>
      </c>
      <c r="D104" s="157">
        <v>1460299</v>
      </c>
      <c r="E104" s="157">
        <f t="shared" si="4"/>
        <v>174500</v>
      </c>
      <c r="F104" s="161">
        <f t="shared" si="5"/>
        <v>0.13571328022498072</v>
      </c>
    </row>
    <row r="105" spans="1:6" ht="15" customHeight="1" x14ac:dyDescent="0.2">
      <c r="A105" s="147">
        <v>3</v>
      </c>
      <c r="B105" s="169" t="s">
        <v>235</v>
      </c>
      <c r="C105" s="157">
        <v>2777119</v>
      </c>
      <c r="D105" s="157">
        <v>2771171</v>
      </c>
      <c r="E105" s="157">
        <f t="shared" si="4"/>
        <v>-5948</v>
      </c>
      <c r="F105" s="161">
        <f t="shared" si="5"/>
        <v>-2.141787946429375E-3</v>
      </c>
    </row>
    <row r="106" spans="1:6" ht="15" customHeight="1" x14ac:dyDescent="0.2">
      <c r="A106" s="147">
        <v>4</v>
      </c>
      <c r="B106" s="169" t="s">
        <v>236</v>
      </c>
      <c r="C106" s="157">
        <v>2859442</v>
      </c>
      <c r="D106" s="157">
        <v>3125739</v>
      </c>
      <c r="E106" s="157">
        <f t="shared" si="4"/>
        <v>266297</v>
      </c>
      <c r="F106" s="161">
        <f t="shared" si="5"/>
        <v>9.3129009086388187E-2</v>
      </c>
    </row>
    <row r="107" spans="1:6" ht="15" customHeight="1" x14ac:dyDescent="0.2">
      <c r="A107" s="147">
        <v>5</v>
      </c>
      <c r="B107" s="169" t="s">
        <v>237</v>
      </c>
      <c r="C107" s="157">
        <v>11164937</v>
      </c>
      <c r="D107" s="157">
        <v>9350829</v>
      </c>
      <c r="E107" s="157">
        <f t="shared" si="4"/>
        <v>-1814108</v>
      </c>
      <c r="F107" s="161">
        <f t="shared" si="5"/>
        <v>-0.16248260066312958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36113016</v>
      </c>
      <c r="D109" s="157">
        <v>31121755</v>
      </c>
      <c r="E109" s="157">
        <f t="shared" si="4"/>
        <v>-4991261</v>
      </c>
      <c r="F109" s="161">
        <f t="shared" si="5"/>
        <v>-0.13821224458239656</v>
      </c>
    </row>
    <row r="110" spans="1:6" ht="15" customHeight="1" x14ac:dyDescent="0.2">
      <c r="A110" s="147">
        <v>8</v>
      </c>
      <c r="B110" s="169" t="s">
        <v>240</v>
      </c>
      <c r="C110" s="157">
        <v>1711598</v>
      </c>
      <c r="D110" s="157">
        <v>1566177</v>
      </c>
      <c r="E110" s="157">
        <f t="shared" si="4"/>
        <v>-145421</v>
      </c>
      <c r="F110" s="161">
        <f t="shared" si="5"/>
        <v>-8.4962123115357696E-2</v>
      </c>
    </row>
    <row r="111" spans="1:6" ht="15" customHeight="1" x14ac:dyDescent="0.2">
      <c r="A111" s="147">
        <v>9</v>
      </c>
      <c r="B111" s="169" t="s">
        <v>241</v>
      </c>
      <c r="C111" s="157">
        <v>1130504</v>
      </c>
      <c r="D111" s="157">
        <v>1139784</v>
      </c>
      <c r="E111" s="157">
        <f t="shared" si="4"/>
        <v>9280</v>
      </c>
      <c r="F111" s="161">
        <f t="shared" si="5"/>
        <v>8.2087281424921988E-3</v>
      </c>
    </row>
    <row r="112" spans="1:6" ht="15" customHeight="1" x14ac:dyDescent="0.2">
      <c r="A112" s="147">
        <v>10</v>
      </c>
      <c r="B112" s="169" t="s">
        <v>242</v>
      </c>
      <c r="C112" s="157">
        <v>3453659</v>
      </c>
      <c r="D112" s="157">
        <v>3463991</v>
      </c>
      <c r="E112" s="157">
        <f t="shared" si="4"/>
        <v>10332</v>
      </c>
      <c r="F112" s="161">
        <f t="shared" si="5"/>
        <v>2.9916097680749605E-3</v>
      </c>
    </row>
    <row r="113" spans="1:6" ht="15" customHeight="1" x14ac:dyDescent="0.2">
      <c r="A113" s="147">
        <v>11</v>
      </c>
      <c r="B113" s="169" t="s">
        <v>243</v>
      </c>
      <c r="C113" s="157">
        <v>2838619</v>
      </c>
      <c r="D113" s="157">
        <v>2980605</v>
      </c>
      <c r="E113" s="157">
        <f t="shared" si="4"/>
        <v>141986</v>
      </c>
      <c r="F113" s="161">
        <f t="shared" si="5"/>
        <v>5.0019393233117937E-2</v>
      </c>
    </row>
    <row r="114" spans="1:6" ht="15" customHeight="1" x14ac:dyDescent="0.2">
      <c r="A114" s="147">
        <v>12</v>
      </c>
      <c r="B114" s="169" t="s">
        <v>244</v>
      </c>
      <c r="C114" s="157">
        <v>187844</v>
      </c>
      <c r="D114" s="157">
        <v>187667</v>
      </c>
      <c r="E114" s="157">
        <f t="shared" si="4"/>
        <v>-177</v>
      </c>
      <c r="F114" s="161">
        <f t="shared" si="5"/>
        <v>-9.4227124635335704E-4</v>
      </c>
    </row>
    <row r="115" spans="1:6" ht="15" customHeight="1" x14ac:dyDescent="0.2">
      <c r="A115" s="147">
        <v>13</v>
      </c>
      <c r="B115" s="169" t="s">
        <v>245</v>
      </c>
      <c r="C115" s="157">
        <v>4724281</v>
      </c>
      <c r="D115" s="157">
        <v>4093277</v>
      </c>
      <c r="E115" s="157">
        <f t="shared" si="4"/>
        <v>-631004</v>
      </c>
      <c r="F115" s="161">
        <f t="shared" si="5"/>
        <v>-0.13356614477419951</v>
      </c>
    </row>
    <row r="116" spans="1:6" ht="15" customHeight="1" x14ac:dyDescent="0.2">
      <c r="A116" s="147">
        <v>14</v>
      </c>
      <c r="B116" s="169" t="s">
        <v>246</v>
      </c>
      <c r="C116" s="157">
        <v>1591264</v>
      </c>
      <c r="D116" s="157">
        <v>1727993</v>
      </c>
      <c r="E116" s="157">
        <f t="shared" si="4"/>
        <v>136729</v>
      </c>
      <c r="F116" s="161">
        <f t="shared" si="5"/>
        <v>8.5924774267500559E-2</v>
      </c>
    </row>
    <row r="117" spans="1:6" ht="15" customHeight="1" x14ac:dyDescent="0.2">
      <c r="A117" s="147">
        <v>15</v>
      </c>
      <c r="B117" s="169" t="s">
        <v>203</v>
      </c>
      <c r="C117" s="157">
        <v>2549087</v>
      </c>
      <c r="D117" s="157">
        <v>2107670</v>
      </c>
      <c r="E117" s="157">
        <f t="shared" si="4"/>
        <v>-441417</v>
      </c>
      <c r="F117" s="161">
        <f t="shared" si="5"/>
        <v>-0.17316670635407894</v>
      </c>
    </row>
    <row r="118" spans="1:6" ht="15" customHeight="1" x14ac:dyDescent="0.2">
      <c r="A118" s="147">
        <v>16</v>
      </c>
      <c r="B118" s="169" t="s">
        <v>247</v>
      </c>
      <c r="C118" s="157">
        <v>1530262</v>
      </c>
      <c r="D118" s="157">
        <v>1470992</v>
      </c>
      <c r="E118" s="157">
        <f t="shared" si="4"/>
        <v>-59270</v>
      </c>
      <c r="F118" s="161">
        <f t="shared" si="5"/>
        <v>-3.8731929565002592E-2</v>
      </c>
    </row>
    <row r="119" spans="1:6" ht="15" customHeight="1" x14ac:dyDescent="0.2">
      <c r="A119" s="147">
        <v>17</v>
      </c>
      <c r="B119" s="169" t="s">
        <v>248</v>
      </c>
      <c r="C119" s="157">
        <v>14971819</v>
      </c>
      <c r="D119" s="157">
        <v>15219117</v>
      </c>
      <c r="E119" s="157">
        <f t="shared" si="4"/>
        <v>247298</v>
      </c>
      <c r="F119" s="161">
        <f t="shared" si="5"/>
        <v>1.6517565434099893E-2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133574227</v>
      </c>
      <c r="D121" s="158">
        <f>SUM(D103:D120)</f>
        <v>118534655</v>
      </c>
      <c r="E121" s="158">
        <f t="shared" si="4"/>
        <v>-15039572</v>
      </c>
      <c r="F121" s="159">
        <f t="shared" si="5"/>
        <v>-0.11259336728184846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573167</v>
      </c>
      <c r="D124" s="157">
        <v>726190</v>
      </c>
      <c r="E124" s="157">
        <f t="shared" ref="E124:E130" si="6">D124-C124</f>
        <v>153023</v>
      </c>
      <c r="F124" s="161">
        <f t="shared" ref="F124:F130" si="7">IF(C124=0,0,E124/C124)</f>
        <v>0.26697803606976678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2464481</v>
      </c>
      <c r="D126" s="157">
        <v>2373953</v>
      </c>
      <c r="E126" s="157">
        <f t="shared" si="6"/>
        <v>-90528</v>
      </c>
      <c r="F126" s="161">
        <f t="shared" si="7"/>
        <v>-3.6733089035784816E-2</v>
      </c>
    </row>
    <row r="127" spans="1:6" ht="15" customHeight="1" x14ac:dyDescent="0.2">
      <c r="A127" s="147">
        <v>4</v>
      </c>
      <c r="B127" s="169" t="s">
        <v>255</v>
      </c>
      <c r="C127" s="157">
        <v>2915700</v>
      </c>
      <c r="D127" s="157">
        <v>2741286</v>
      </c>
      <c r="E127" s="157">
        <f t="shared" si="6"/>
        <v>-174414</v>
      </c>
      <c r="F127" s="161">
        <f t="shared" si="7"/>
        <v>-5.9818911410638956E-2</v>
      </c>
    </row>
    <row r="128" spans="1:6" ht="15" customHeight="1" x14ac:dyDescent="0.2">
      <c r="A128" s="147">
        <v>5</v>
      </c>
      <c r="B128" s="169" t="s">
        <v>256</v>
      </c>
      <c r="C128" s="157">
        <v>2307251</v>
      </c>
      <c r="D128" s="157">
        <v>2279452</v>
      </c>
      <c r="E128" s="157">
        <f t="shared" si="6"/>
        <v>-27799</v>
      </c>
      <c r="F128" s="161">
        <f t="shared" si="7"/>
        <v>-1.2048537415305054E-2</v>
      </c>
    </row>
    <row r="129" spans="1:6" ht="15" customHeight="1" x14ac:dyDescent="0.2">
      <c r="A129" s="147">
        <v>6</v>
      </c>
      <c r="B129" s="169" t="s">
        <v>257</v>
      </c>
      <c r="C129" s="157">
        <v>1345576</v>
      </c>
      <c r="D129" s="157">
        <v>1595676</v>
      </c>
      <c r="E129" s="157">
        <f t="shared" si="6"/>
        <v>250100</v>
      </c>
      <c r="F129" s="161">
        <f t="shared" si="7"/>
        <v>0.18586835674833677</v>
      </c>
    </row>
    <row r="130" spans="1:6" ht="15.75" customHeight="1" x14ac:dyDescent="0.25">
      <c r="A130" s="147"/>
      <c r="B130" s="165" t="s">
        <v>258</v>
      </c>
      <c r="C130" s="158">
        <f>SUM(C124:C129)</f>
        <v>9606175</v>
      </c>
      <c r="D130" s="158">
        <f>SUM(D124:D129)</f>
        <v>9716557</v>
      </c>
      <c r="E130" s="158">
        <f t="shared" si="6"/>
        <v>110382</v>
      </c>
      <c r="F130" s="159">
        <f t="shared" si="7"/>
        <v>1.1490733824857449E-2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9238553</v>
      </c>
      <c r="D133" s="157">
        <v>8950548</v>
      </c>
      <c r="E133" s="157">
        <f t="shared" ref="E133:E167" si="8">D133-C133</f>
        <v>-288005</v>
      </c>
      <c r="F133" s="161">
        <f t="shared" ref="F133:F167" si="9">IF(C133=0,0,E133/C133)</f>
        <v>-3.1174254236567132E-2</v>
      </c>
    </row>
    <row r="134" spans="1:6" ht="15" customHeight="1" x14ac:dyDescent="0.2">
      <c r="A134" s="147">
        <v>2</v>
      </c>
      <c r="B134" s="169" t="s">
        <v>261</v>
      </c>
      <c r="C134" s="157">
        <v>2372485</v>
      </c>
      <c r="D134" s="157">
        <v>1727697</v>
      </c>
      <c r="E134" s="157">
        <f t="shared" si="8"/>
        <v>-644788</v>
      </c>
      <c r="F134" s="161">
        <f t="shared" si="9"/>
        <v>-0.2717774822601618</v>
      </c>
    </row>
    <row r="135" spans="1:6" ht="15" customHeight="1" x14ac:dyDescent="0.2">
      <c r="A135" s="147">
        <v>3</v>
      </c>
      <c r="B135" s="169" t="s">
        <v>262</v>
      </c>
      <c r="C135" s="157">
        <v>765159</v>
      </c>
      <c r="D135" s="157">
        <v>1015496</v>
      </c>
      <c r="E135" s="157">
        <f t="shared" si="8"/>
        <v>250337</v>
      </c>
      <c r="F135" s="161">
        <f t="shared" si="9"/>
        <v>0.32716990847653887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7407486</v>
      </c>
      <c r="D137" s="157">
        <v>6690059</v>
      </c>
      <c r="E137" s="157">
        <f t="shared" si="8"/>
        <v>-717427</v>
      </c>
      <c r="F137" s="161">
        <f t="shared" si="9"/>
        <v>-9.6851617404339341E-2</v>
      </c>
    </row>
    <row r="138" spans="1:6" ht="15" customHeight="1" x14ac:dyDescent="0.2">
      <c r="A138" s="147">
        <v>6</v>
      </c>
      <c r="B138" s="169" t="s">
        <v>265</v>
      </c>
      <c r="C138" s="157">
        <v>1287069</v>
      </c>
      <c r="D138" s="157">
        <v>1596362</v>
      </c>
      <c r="E138" s="157">
        <f t="shared" si="8"/>
        <v>309293</v>
      </c>
      <c r="F138" s="161">
        <f t="shared" si="9"/>
        <v>0.2403080176742661</v>
      </c>
    </row>
    <row r="139" spans="1:6" ht="15" customHeight="1" x14ac:dyDescent="0.2">
      <c r="A139" s="147">
        <v>7</v>
      </c>
      <c r="B139" s="169" t="s">
        <v>266</v>
      </c>
      <c r="C139" s="157">
        <v>3295326</v>
      </c>
      <c r="D139" s="157">
        <v>3204397</v>
      </c>
      <c r="E139" s="157">
        <f t="shared" si="8"/>
        <v>-90929</v>
      </c>
      <c r="F139" s="161">
        <f t="shared" si="9"/>
        <v>-2.7593324605820486E-2</v>
      </c>
    </row>
    <row r="140" spans="1:6" ht="15" customHeight="1" x14ac:dyDescent="0.2">
      <c r="A140" s="147">
        <v>8</v>
      </c>
      <c r="B140" s="169" t="s">
        <v>267</v>
      </c>
      <c r="C140" s="157">
        <v>972824</v>
      </c>
      <c r="D140" s="157">
        <v>983993</v>
      </c>
      <c r="E140" s="157">
        <f t="shared" si="8"/>
        <v>11169</v>
      </c>
      <c r="F140" s="161">
        <f t="shared" si="9"/>
        <v>1.1481007869871631E-2</v>
      </c>
    </row>
    <row r="141" spans="1:6" ht="15" customHeight="1" x14ac:dyDescent="0.2">
      <c r="A141" s="147">
        <v>9</v>
      </c>
      <c r="B141" s="169" t="s">
        <v>268</v>
      </c>
      <c r="C141" s="157">
        <v>2176045</v>
      </c>
      <c r="D141" s="157">
        <v>2293465</v>
      </c>
      <c r="E141" s="157">
        <f t="shared" si="8"/>
        <v>117420</v>
      </c>
      <c r="F141" s="161">
        <f t="shared" si="9"/>
        <v>5.3960281152273963E-2</v>
      </c>
    </row>
    <row r="142" spans="1:6" ht="15" customHeight="1" x14ac:dyDescent="0.2">
      <c r="A142" s="147">
        <v>10</v>
      </c>
      <c r="B142" s="169" t="s">
        <v>269</v>
      </c>
      <c r="C142" s="157">
        <v>11316289</v>
      </c>
      <c r="D142" s="157">
        <v>11421907</v>
      </c>
      <c r="E142" s="157">
        <f t="shared" si="8"/>
        <v>105618</v>
      </c>
      <c r="F142" s="161">
        <f t="shared" si="9"/>
        <v>9.333271711247388E-3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1320953</v>
      </c>
      <c r="D144" s="157">
        <v>1197225</v>
      </c>
      <c r="E144" s="157">
        <f t="shared" si="8"/>
        <v>-123728</v>
      </c>
      <c r="F144" s="161">
        <f t="shared" si="9"/>
        <v>-9.3665709529407934E-2</v>
      </c>
    </row>
    <row r="145" spans="1:6" ht="15" customHeight="1" x14ac:dyDescent="0.2">
      <c r="A145" s="147">
        <v>13</v>
      </c>
      <c r="B145" s="169" t="s">
        <v>272</v>
      </c>
      <c r="C145" s="157">
        <v>239435</v>
      </c>
      <c r="D145" s="157">
        <v>223132</v>
      </c>
      <c r="E145" s="157">
        <f t="shared" si="8"/>
        <v>-16303</v>
      </c>
      <c r="F145" s="161">
        <f t="shared" si="9"/>
        <v>-6.8089460605174679E-2</v>
      </c>
    </row>
    <row r="146" spans="1:6" ht="15" customHeight="1" x14ac:dyDescent="0.2">
      <c r="A146" s="147">
        <v>14</v>
      </c>
      <c r="B146" s="169" t="s">
        <v>273</v>
      </c>
      <c r="C146" s="157">
        <v>176926</v>
      </c>
      <c r="D146" s="157">
        <v>155028</v>
      </c>
      <c r="E146" s="157">
        <f t="shared" si="8"/>
        <v>-21898</v>
      </c>
      <c r="F146" s="161">
        <f t="shared" si="9"/>
        <v>-0.12376925946440885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1919733</v>
      </c>
      <c r="D150" s="157">
        <v>1811273</v>
      </c>
      <c r="E150" s="157">
        <f t="shared" si="8"/>
        <v>-108460</v>
      </c>
      <c r="F150" s="161">
        <f t="shared" si="9"/>
        <v>-5.6497440008584525E-2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1111825</v>
      </c>
      <c r="D152" s="157">
        <v>1106150</v>
      </c>
      <c r="E152" s="157">
        <f t="shared" si="8"/>
        <v>-5675</v>
      </c>
      <c r="F152" s="161">
        <f t="shared" si="9"/>
        <v>-5.1042205383041396E-3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1587372</v>
      </c>
      <c r="D154" s="157">
        <v>1597463</v>
      </c>
      <c r="E154" s="157">
        <f t="shared" si="8"/>
        <v>10091</v>
      </c>
      <c r="F154" s="161">
        <f t="shared" si="9"/>
        <v>6.3570480013506597E-3</v>
      </c>
    </row>
    <row r="155" spans="1:6" ht="15" customHeight="1" x14ac:dyDescent="0.2">
      <c r="A155" s="147">
        <v>23</v>
      </c>
      <c r="B155" s="169" t="s">
        <v>282</v>
      </c>
      <c r="C155" s="157">
        <v>570667</v>
      </c>
      <c r="D155" s="157">
        <v>568985</v>
      </c>
      <c r="E155" s="157">
        <f t="shared" si="8"/>
        <v>-1682</v>
      </c>
      <c r="F155" s="161">
        <f t="shared" si="9"/>
        <v>-2.9474281849134433E-3</v>
      </c>
    </row>
    <row r="156" spans="1:6" ht="15" customHeight="1" x14ac:dyDescent="0.2">
      <c r="A156" s="147">
        <v>24</v>
      </c>
      <c r="B156" s="169" t="s">
        <v>283</v>
      </c>
      <c r="C156" s="157">
        <v>16229700</v>
      </c>
      <c r="D156" s="157">
        <v>19203155</v>
      </c>
      <c r="E156" s="157">
        <f t="shared" si="8"/>
        <v>2973455</v>
      </c>
      <c r="F156" s="161">
        <f t="shared" si="9"/>
        <v>0.18321071862080013</v>
      </c>
    </row>
    <row r="157" spans="1:6" ht="15" customHeight="1" x14ac:dyDescent="0.2">
      <c r="A157" s="147">
        <v>25</v>
      </c>
      <c r="B157" s="169" t="s">
        <v>284</v>
      </c>
      <c r="C157" s="157">
        <v>3104280</v>
      </c>
      <c r="D157" s="157">
        <v>2794127</v>
      </c>
      <c r="E157" s="157">
        <f t="shared" si="8"/>
        <v>-310153</v>
      </c>
      <c r="F157" s="161">
        <f t="shared" si="9"/>
        <v>-9.9911412630303967E-2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645208</v>
      </c>
      <c r="D159" s="157">
        <v>542272</v>
      </c>
      <c r="E159" s="157">
        <f t="shared" si="8"/>
        <v>-102936</v>
      </c>
      <c r="F159" s="161">
        <f t="shared" si="9"/>
        <v>-0.15953924935834646</v>
      </c>
    </row>
    <row r="160" spans="1:6" ht="15" customHeight="1" x14ac:dyDescent="0.2">
      <c r="A160" s="147">
        <v>28</v>
      </c>
      <c r="B160" s="169" t="s">
        <v>287</v>
      </c>
      <c r="C160" s="157">
        <v>1338374</v>
      </c>
      <c r="D160" s="157">
        <v>1263764</v>
      </c>
      <c r="E160" s="157">
        <f t="shared" si="8"/>
        <v>-74610</v>
      </c>
      <c r="F160" s="161">
        <f t="shared" si="9"/>
        <v>-5.5746749413840974E-2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273370</v>
      </c>
      <c r="D162" s="157">
        <v>233300</v>
      </c>
      <c r="E162" s="157">
        <f t="shared" si="8"/>
        <v>-40070</v>
      </c>
      <c r="F162" s="161">
        <f t="shared" si="9"/>
        <v>-0.14657789808684202</v>
      </c>
    </row>
    <row r="163" spans="1:6" ht="15" customHeight="1" x14ac:dyDescent="0.2">
      <c r="A163" s="147">
        <v>31</v>
      </c>
      <c r="B163" s="169" t="s">
        <v>290</v>
      </c>
      <c r="C163" s="157">
        <v>1426927</v>
      </c>
      <c r="D163" s="157">
        <v>1531964</v>
      </c>
      <c r="E163" s="157">
        <f t="shared" si="8"/>
        <v>105037</v>
      </c>
      <c r="F163" s="161">
        <f t="shared" si="9"/>
        <v>7.3610633199876374E-2</v>
      </c>
    </row>
    <row r="164" spans="1:6" ht="15" customHeight="1" x14ac:dyDescent="0.2">
      <c r="A164" s="147">
        <v>32</v>
      </c>
      <c r="B164" s="169" t="s">
        <v>291</v>
      </c>
      <c r="C164" s="157">
        <v>2242391</v>
      </c>
      <c r="D164" s="157">
        <v>2241005</v>
      </c>
      <c r="E164" s="157">
        <f t="shared" si="8"/>
        <v>-1386</v>
      </c>
      <c r="F164" s="161">
        <f t="shared" si="9"/>
        <v>-6.1809024385131768E-4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12913645</v>
      </c>
      <c r="D166" s="157">
        <v>12936474</v>
      </c>
      <c r="E166" s="157">
        <f t="shared" si="8"/>
        <v>22829</v>
      </c>
      <c r="F166" s="161">
        <f t="shared" si="9"/>
        <v>1.7678200074417408E-3</v>
      </c>
    </row>
    <row r="167" spans="1:6" ht="15.75" customHeight="1" x14ac:dyDescent="0.25">
      <c r="A167" s="147"/>
      <c r="B167" s="165" t="s">
        <v>294</v>
      </c>
      <c r="C167" s="158">
        <f>SUM(C133:C166)</f>
        <v>83932042</v>
      </c>
      <c r="D167" s="158">
        <f>SUM(D133:D166)</f>
        <v>85289241</v>
      </c>
      <c r="E167" s="158">
        <f t="shared" si="8"/>
        <v>1357199</v>
      </c>
      <c r="F167" s="159">
        <f t="shared" si="9"/>
        <v>1.6170213039735169E-2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23372280</v>
      </c>
      <c r="D170" s="157">
        <v>23354818</v>
      </c>
      <c r="E170" s="157">
        <f t="shared" ref="E170:E183" si="10">D170-C170</f>
        <v>-17462</v>
      </c>
      <c r="F170" s="161">
        <f t="shared" ref="F170:F183" si="11">IF(C170=0,0,E170/C170)</f>
        <v>-7.4712437126373639E-4</v>
      </c>
    </row>
    <row r="171" spans="1:6" ht="15" customHeight="1" x14ac:dyDescent="0.2">
      <c r="A171" s="147">
        <v>2</v>
      </c>
      <c r="B171" s="169" t="s">
        <v>297</v>
      </c>
      <c r="C171" s="157">
        <v>3059440</v>
      </c>
      <c r="D171" s="157">
        <v>3046602</v>
      </c>
      <c r="E171" s="157">
        <f t="shared" si="10"/>
        <v>-12838</v>
      </c>
      <c r="F171" s="161">
        <f t="shared" si="11"/>
        <v>-4.1961927673038199E-3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2181926</v>
      </c>
      <c r="D173" s="157">
        <v>2147653</v>
      </c>
      <c r="E173" s="157">
        <f t="shared" si="10"/>
        <v>-34273</v>
      </c>
      <c r="F173" s="161">
        <f t="shared" si="11"/>
        <v>-1.5707682112042296E-2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4178659</v>
      </c>
      <c r="D175" s="157">
        <v>4112313</v>
      </c>
      <c r="E175" s="157">
        <f t="shared" si="10"/>
        <v>-66346</v>
      </c>
      <c r="F175" s="161">
        <f t="shared" si="11"/>
        <v>-1.5877342468002296E-2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3668888</v>
      </c>
      <c r="D181" s="157">
        <v>3202024</v>
      </c>
      <c r="E181" s="157">
        <f t="shared" si="10"/>
        <v>-466864</v>
      </c>
      <c r="F181" s="161">
        <f t="shared" si="11"/>
        <v>-0.12724945542082505</v>
      </c>
    </row>
    <row r="182" spans="1:6" ht="15" customHeight="1" x14ac:dyDescent="0.2">
      <c r="A182" s="147">
        <v>13</v>
      </c>
      <c r="B182" s="169" t="s">
        <v>308</v>
      </c>
      <c r="C182" s="157">
        <v>538094</v>
      </c>
      <c r="D182" s="157">
        <v>531388</v>
      </c>
      <c r="E182" s="157">
        <f t="shared" si="10"/>
        <v>-6706</v>
      </c>
      <c r="F182" s="161">
        <f t="shared" si="11"/>
        <v>-1.2462506550900029E-2</v>
      </c>
    </row>
    <row r="183" spans="1:6" ht="15.75" customHeight="1" x14ac:dyDescent="0.25">
      <c r="A183" s="147"/>
      <c r="B183" s="165" t="s">
        <v>309</v>
      </c>
      <c r="C183" s="158">
        <f>SUM(C170:C182)</f>
        <v>36999287</v>
      </c>
      <c r="D183" s="158">
        <f>SUM(D170:D182)</f>
        <v>36394798</v>
      </c>
      <c r="E183" s="158">
        <f t="shared" si="10"/>
        <v>-604489</v>
      </c>
      <c r="F183" s="159">
        <f t="shared" si="11"/>
        <v>-1.6337855375429262E-2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264111731</v>
      </c>
      <c r="D188" s="158">
        <f>+D186+D183+D167+D130+D121</f>
        <v>249935251</v>
      </c>
      <c r="E188" s="158">
        <f>D188-C188</f>
        <v>-14176480</v>
      </c>
      <c r="F188" s="159">
        <f>IF(C188=0,0,E188/C188)</f>
        <v>-5.3676070905006486E-2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271933218</v>
      </c>
      <c r="D11" s="183">
        <v>283219755</v>
      </c>
      <c r="E11" s="76">
        <v>268008827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5109286</v>
      </c>
      <c r="D12" s="185">
        <v>7456692</v>
      </c>
      <c r="E12" s="185">
        <v>7202302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277042504</v>
      </c>
      <c r="D13" s="76">
        <f>+D11+D12</f>
        <v>290676447</v>
      </c>
      <c r="E13" s="76">
        <f>+E11+E12</f>
        <v>275211129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252073735</v>
      </c>
      <c r="D14" s="185">
        <v>264111731</v>
      </c>
      <c r="E14" s="185">
        <v>249935251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24968769</v>
      </c>
      <c r="D15" s="76">
        <f>+D13-D14</f>
        <v>26564716</v>
      </c>
      <c r="E15" s="76">
        <f>+E13-E14</f>
        <v>25275878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174374</v>
      </c>
      <c r="D16" s="185">
        <v>12819113</v>
      </c>
      <c r="E16" s="185">
        <v>10257621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25143143</v>
      </c>
      <c r="D17" s="76">
        <f>D15+D16</f>
        <v>39383829</v>
      </c>
      <c r="E17" s="76">
        <f>E15+E16</f>
        <v>35533499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9.006944014426134E-2</v>
      </c>
      <c r="D20" s="189">
        <f>IF(+D27=0,0,+D24/+D27)</f>
        <v>8.7529175056135916E-2</v>
      </c>
      <c r="E20" s="189">
        <f>IF(+E27=0,0,+E24/+E27)</f>
        <v>8.8541663492063494E-2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6.2901653484460636E-4</v>
      </c>
      <c r="D21" s="189">
        <f>IF(D27=0,0,+D26/D27)</f>
        <v>4.2238222529515757E-2</v>
      </c>
      <c r="E21" s="189">
        <f>IF(E27=0,0,+E26/E27)</f>
        <v>3.593255303776683E-2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9.0698456679105949E-2</v>
      </c>
      <c r="D22" s="189">
        <f>IF(D27=0,0,+D28/D27)</f>
        <v>0.12976739758565167</v>
      </c>
      <c r="E22" s="189">
        <f>IF(E27=0,0,+E28/E27)</f>
        <v>0.12447421652983032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24968769</v>
      </c>
      <c r="D24" s="76">
        <f>+D15</f>
        <v>26564716</v>
      </c>
      <c r="E24" s="76">
        <f>+E15</f>
        <v>25275878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277042504</v>
      </c>
      <c r="D25" s="76">
        <f>+D13</f>
        <v>290676447</v>
      </c>
      <c r="E25" s="76">
        <f>+E13</f>
        <v>275211129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174374</v>
      </c>
      <c r="D26" s="76">
        <f>+D16</f>
        <v>12819113</v>
      </c>
      <c r="E26" s="76">
        <f>+E16</f>
        <v>10257621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277216878</v>
      </c>
      <c r="D27" s="76">
        <f>+D25+D26</f>
        <v>303495560</v>
      </c>
      <c r="E27" s="76">
        <f>+E25+E26</f>
        <v>285468750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25143143</v>
      </c>
      <c r="D28" s="76">
        <f>+D17</f>
        <v>39383829</v>
      </c>
      <c r="E28" s="76">
        <f>+E17</f>
        <v>35533499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153327362</v>
      </c>
      <c r="D31" s="76">
        <v>187197385</v>
      </c>
      <c r="E31" s="76">
        <v>314099880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162176033</v>
      </c>
      <c r="D32" s="76">
        <v>197844044</v>
      </c>
      <c r="E32" s="76">
        <v>325472938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3251015</v>
      </c>
      <c r="D33" s="76">
        <f>+D32-C32</f>
        <v>35668011</v>
      </c>
      <c r="E33" s="76">
        <f>+E32-D32</f>
        <v>127628894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1.0204</v>
      </c>
      <c r="D34" s="193">
        <f>IF(C32=0,0,+D33/C32)</f>
        <v>0.21993392204876536</v>
      </c>
      <c r="E34" s="193">
        <f>IF(D32=0,0,+E33/D32)</f>
        <v>0.6450984897983586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0.41379875630782798</v>
      </c>
      <c r="D38" s="195">
        <f>IF((D40+D41)=0,0,+D39/(D40+D41))</f>
        <v>0.42394818668311085</v>
      </c>
      <c r="E38" s="195">
        <f>IF((E40+E41)=0,0,+E39/(E40+E41))</f>
        <v>0.38005472235085169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252073735</v>
      </c>
      <c r="D39" s="76">
        <v>264111731</v>
      </c>
      <c r="E39" s="196">
        <v>249935251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604060585</v>
      </c>
      <c r="D40" s="76">
        <v>615524463</v>
      </c>
      <c r="E40" s="196">
        <v>650427340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5109286</v>
      </c>
      <c r="D41" s="76">
        <v>7456692</v>
      </c>
      <c r="E41" s="196">
        <v>7202302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1.5335129058058896</v>
      </c>
      <c r="D43" s="197">
        <f>IF(D38=0,0,IF((D46-D47)=0,0,((+D44-D45)/(D46-D47)/D38)))</f>
        <v>1.5286748825550962</v>
      </c>
      <c r="E43" s="197">
        <f>IF(E38=0,0,IF((E46-E47)=0,0,((+E44-E45)/(E46-E47)/E38)))</f>
        <v>1.6817164086435974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158908048</v>
      </c>
      <c r="D44" s="76">
        <v>155406762</v>
      </c>
      <c r="E44" s="196">
        <v>154135954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3067822</v>
      </c>
      <c r="D45" s="76">
        <v>2681150</v>
      </c>
      <c r="E45" s="196">
        <v>2385465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258871276</v>
      </c>
      <c r="D46" s="76">
        <v>248782024</v>
      </c>
      <c r="E46" s="196">
        <v>251905183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13285645</v>
      </c>
      <c r="D47" s="76">
        <v>13123061</v>
      </c>
      <c r="E47" s="76">
        <v>14477582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0.82378593880221984</v>
      </c>
      <c r="D49" s="198">
        <f>IF(D38=0,0,IF(D51=0,0,(D50/D51)/D38))</f>
        <v>0.87919307954711978</v>
      </c>
      <c r="E49" s="198">
        <f>IF(E38=0,0,IF(E51=0,0,(E50/E51)/E38))</f>
        <v>0.86049073434264489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78626794</v>
      </c>
      <c r="D50" s="199">
        <v>91857700</v>
      </c>
      <c r="E50" s="199">
        <v>86019959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230657198</v>
      </c>
      <c r="D51" s="199">
        <v>246444156</v>
      </c>
      <c r="E51" s="199">
        <v>263030978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0.62464112255183424</v>
      </c>
      <c r="D53" s="198">
        <f>IF(D38=0,0,IF(D55=0,0,(D54/D55)/D38))</f>
        <v>0.57174865492770977</v>
      </c>
      <c r="E53" s="198">
        <f>IF(E38=0,0,IF(E55=0,0,(E54/E55)/E38))</f>
        <v>0.66795669703978289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26458942</v>
      </c>
      <c r="D54" s="199">
        <v>26068440</v>
      </c>
      <c r="E54" s="199">
        <v>31231570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102365290</v>
      </c>
      <c r="D55" s="199">
        <v>107546705</v>
      </c>
      <c r="E55" s="199">
        <v>123026700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7184926.8421549369</v>
      </c>
      <c r="D57" s="88">
        <f>+D60*D38</f>
        <v>5694063.3574755825</v>
      </c>
      <c r="E57" s="88">
        <f>+E60*E38</f>
        <v>5450355.6519202273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4672730</v>
      </c>
      <c r="D58" s="199">
        <v>5341790</v>
      </c>
      <c r="E58" s="199">
        <v>5518573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12690606</v>
      </c>
      <c r="D59" s="199">
        <v>8089246</v>
      </c>
      <c r="E59" s="199">
        <v>8822403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17363336</v>
      </c>
      <c r="D60" s="76">
        <v>13431036</v>
      </c>
      <c r="E60" s="201">
        <v>14340976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2.8503274417522862E-2</v>
      </c>
      <c r="D62" s="202">
        <f>IF(D63=0,0,+D57/D63)</f>
        <v>2.1559297407639885E-2</v>
      </c>
      <c r="E62" s="202">
        <f>IF(E63=0,0,+E57/E63)</f>
        <v>2.1807070551725524E-2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252073735</v>
      </c>
      <c r="D63" s="199">
        <v>264111731</v>
      </c>
      <c r="E63" s="199">
        <v>249935251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4.1431022265623652</v>
      </c>
      <c r="D67" s="203">
        <f>IF(D69=0,0,D68/D69)</f>
        <v>4.9851907171696892</v>
      </c>
      <c r="E67" s="203">
        <f>IF(E69=0,0,E68/E69)</f>
        <v>6.0695186805904866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136970305</v>
      </c>
      <c r="D68" s="204">
        <v>154331609</v>
      </c>
      <c r="E68" s="204">
        <v>176775642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33059842</v>
      </c>
      <c r="D69" s="204">
        <v>30958015</v>
      </c>
      <c r="E69" s="204">
        <v>29125150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144.59528190651511</v>
      </c>
      <c r="D71" s="203">
        <f>IF((D77/365)=0,0,+D74/(D77/365))</f>
        <v>159.32739207053027</v>
      </c>
      <c r="E71" s="203">
        <f>IF((E77/365)=0,0,+E74/(E77/365))</f>
        <v>206.07728307154741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93136217</v>
      </c>
      <c r="D72" s="183">
        <v>107428365</v>
      </c>
      <c r="E72" s="183">
        <v>132347698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93136217</v>
      </c>
      <c r="D74" s="204">
        <f>+D72+D73</f>
        <v>107428365</v>
      </c>
      <c r="E74" s="204">
        <f>+E72+E73</f>
        <v>132347698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252073735</v>
      </c>
      <c r="D75" s="204">
        <f>+D14</f>
        <v>264111731</v>
      </c>
      <c r="E75" s="204">
        <f>+E14</f>
        <v>249935251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16971187</v>
      </c>
      <c r="D76" s="204">
        <v>18006195</v>
      </c>
      <c r="E76" s="204">
        <v>15523631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235102548</v>
      </c>
      <c r="D77" s="204">
        <f>+D75-D76</f>
        <v>246105536</v>
      </c>
      <c r="E77" s="204">
        <f>+E75-E76</f>
        <v>234411620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37.166586834566125</v>
      </c>
      <c r="D79" s="203">
        <f>IF((D84/365)=0,0,+D83/(D84/365))</f>
        <v>39.722046666554036</v>
      </c>
      <c r="E79" s="203">
        <f>IF((E84/365)=0,0,+E83/(E84/365))</f>
        <v>39.747463243066989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32373122</v>
      </c>
      <c r="D80" s="212">
        <v>32015340</v>
      </c>
      <c r="E80" s="212">
        <v>31013657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4683178</v>
      </c>
      <c r="D82" s="212">
        <v>1193235</v>
      </c>
      <c r="E82" s="212">
        <v>1828257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27689944</v>
      </c>
      <c r="D83" s="212">
        <f>+D80+D81-D82</f>
        <v>30822105</v>
      </c>
      <c r="E83" s="212">
        <f>+E80+E81-E82</f>
        <v>29185400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271933218</v>
      </c>
      <c r="D84" s="204">
        <f>+D11</f>
        <v>283219755</v>
      </c>
      <c r="E84" s="204">
        <f>+E11</f>
        <v>268008827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51.325867935723096</v>
      </c>
      <c r="D86" s="203">
        <f>IF((D90/365)=0,0,+D87/(D90/365))</f>
        <v>45.913942687579365</v>
      </c>
      <c r="E86" s="203">
        <f>IF((E90/365)=0,0,+E87/(E90/365))</f>
        <v>45.350481132291996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33059842</v>
      </c>
      <c r="D87" s="76">
        <f>+D69</f>
        <v>30958015</v>
      </c>
      <c r="E87" s="76">
        <f>+E69</f>
        <v>29125150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252073735</v>
      </c>
      <c r="D88" s="76">
        <f t="shared" si="0"/>
        <v>264111731</v>
      </c>
      <c r="E88" s="76">
        <f t="shared" si="0"/>
        <v>249935251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16971187</v>
      </c>
      <c r="D89" s="201">
        <f t="shared" si="0"/>
        <v>18006195</v>
      </c>
      <c r="E89" s="201">
        <f t="shared" si="0"/>
        <v>15523631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235102548</v>
      </c>
      <c r="D90" s="76">
        <f>+D88-D89</f>
        <v>246105536</v>
      </c>
      <c r="E90" s="76">
        <f>+E88-E89</f>
        <v>234411620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45.30437217887274</v>
      </c>
      <c r="D94" s="214">
        <f>IF(D96=0,0,(D95/D96)*100)</f>
        <v>50.350576794481903</v>
      </c>
      <c r="E94" s="214">
        <f>IF(E96=0,0,(E95/E96)*100)</f>
        <v>68.275191635396851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162176033</v>
      </c>
      <c r="D95" s="76">
        <f>+D32</f>
        <v>197844044</v>
      </c>
      <c r="E95" s="76">
        <f>+E32</f>
        <v>325472938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357969938</v>
      </c>
      <c r="D96" s="76">
        <v>392933024</v>
      </c>
      <c r="E96" s="76">
        <v>476707469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44.122081030131568</v>
      </c>
      <c r="D98" s="214">
        <f>IF(D104=0,0,(D101/D104)*100)</f>
        <v>59.771932522421892</v>
      </c>
      <c r="E98" s="214">
        <f>IF(E104=0,0,(E101/E104)*100)</f>
        <v>53.008543036334324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25143143</v>
      </c>
      <c r="D99" s="76">
        <f>+D28</f>
        <v>39383829</v>
      </c>
      <c r="E99" s="76">
        <f>+E28</f>
        <v>35533499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16971187</v>
      </c>
      <c r="D100" s="201">
        <f>+D76</f>
        <v>18006195</v>
      </c>
      <c r="E100" s="201">
        <f>+E76</f>
        <v>15523631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42114330</v>
      </c>
      <c r="D101" s="76">
        <f>+D99+D100</f>
        <v>57390024</v>
      </c>
      <c r="E101" s="76">
        <f>+E99+E100</f>
        <v>51057130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33059842</v>
      </c>
      <c r="D102" s="204">
        <f>+D69</f>
        <v>30958015</v>
      </c>
      <c r="E102" s="204">
        <f>+E69</f>
        <v>29125150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62389713</v>
      </c>
      <c r="D103" s="216">
        <v>65056990</v>
      </c>
      <c r="E103" s="216">
        <v>67193532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95449555</v>
      </c>
      <c r="D104" s="204">
        <f>+D102+D103</f>
        <v>96015005</v>
      </c>
      <c r="E104" s="204">
        <f>+E102+E103</f>
        <v>96318682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27.782381824162979</v>
      </c>
      <c r="D106" s="214">
        <f>IF(D109=0,0,(D107/D109)*100)</f>
        <v>24.74580986242907</v>
      </c>
      <c r="E106" s="214">
        <f>IF(E109=0,0,(E107/E109)*100)</f>
        <v>17.112113494182481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62389713</v>
      </c>
      <c r="D107" s="204">
        <f>+D103</f>
        <v>65056990</v>
      </c>
      <c r="E107" s="204">
        <f>+E103</f>
        <v>67193532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162176033</v>
      </c>
      <c r="D108" s="204">
        <f>+D32</f>
        <v>197844044</v>
      </c>
      <c r="E108" s="204">
        <f>+E32</f>
        <v>325472938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224565746</v>
      </c>
      <c r="D109" s="204">
        <f>+D107+D108</f>
        <v>262901034</v>
      </c>
      <c r="E109" s="204">
        <f>+E107+E108</f>
        <v>392666470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8.7299757030479448</v>
      </c>
      <c r="D111" s="214">
        <f>IF((+D113+D115)=0,0,((+D112+D113+D114)/(+D113+D115)))</f>
        <v>11.451230777826519</v>
      </c>
      <c r="E111" s="214">
        <f>IF((+E113+E115)=0,0,((+E112+E113+E114)/(+E113+E115)))</f>
        <v>9.9317910241062446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25143143</v>
      </c>
      <c r="D112" s="76">
        <f>+D17</f>
        <v>39383829</v>
      </c>
      <c r="E112" s="76">
        <f>+E17</f>
        <v>35533499</v>
      </c>
    </row>
    <row r="113" spans="1:8" ht="24" customHeight="1" x14ac:dyDescent="0.2">
      <c r="A113" s="85">
        <v>17</v>
      </c>
      <c r="B113" s="75" t="s">
        <v>88</v>
      </c>
      <c r="C113" s="218">
        <v>3247715</v>
      </c>
      <c r="D113" s="76">
        <v>3276169</v>
      </c>
      <c r="E113" s="76">
        <v>3375173</v>
      </c>
    </row>
    <row r="114" spans="1:8" ht="24" customHeight="1" x14ac:dyDescent="0.2">
      <c r="A114" s="85">
        <v>18</v>
      </c>
      <c r="B114" s="75" t="s">
        <v>374</v>
      </c>
      <c r="C114" s="218">
        <v>16971187</v>
      </c>
      <c r="D114" s="76">
        <v>18006195</v>
      </c>
      <c r="E114" s="76">
        <v>15523631</v>
      </c>
    </row>
    <row r="115" spans="1:8" ht="24" customHeight="1" x14ac:dyDescent="0.2">
      <c r="A115" s="85">
        <v>19</v>
      </c>
      <c r="B115" s="75" t="s">
        <v>104</v>
      </c>
      <c r="C115" s="218">
        <v>1948410</v>
      </c>
      <c r="D115" s="76">
        <v>2021619</v>
      </c>
      <c r="E115" s="76">
        <v>2105440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8.2956014213973361</v>
      </c>
      <c r="D119" s="214">
        <f>IF(+D121=0,0,(+D120)/(+D121))</f>
        <v>8.2725952928978046</v>
      </c>
      <c r="E119" s="214">
        <f>IF(+E121=0,0,(+E120)/(+E121))</f>
        <v>10.367303757735545</v>
      </c>
    </row>
    <row r="120" spans="1:8" ht="24" customHeight="1" x14ac:dyDescent="0.2">
      <c r="A120" s="85">
        <v>21</v>
      </c>
      <c r="B120" s="75" t="s">
        <v>378</v>
      </c>
      <c r="C120" s="218">
        <v>140786203</v>
      </c>
      <c r="D120" s="218">
        <v>148957964</v>
      </c>
      <c r="E120" s="218">
        <v>160938198</v>
      </c>
    </row>
    <row r="121" spans="1:8" ht="24" customHeight="1" x14ac:dyDescent="0.2">
      <c r="A121" s="85">
        <v>22</v>
      </c>
      <c r="B121" s="75" t="s">
        <v>374</v>
      </c>
      <c r="C121" s="218">
        <v>16971187</v>
      </c>
      <c r="D121" s="218">
        <v>18006195</v>
      </c>
      <c r="E121" s="218">
        <v>15523631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49654</v>
      </c>
      <c r="D124" s="218">
        <v>49361</v>
      </c>
      <c r="E124" s="218">
        <v>48465</v>
      </c>
    </row>
    <row r="125" spans="1:8" ht="24" customHeight="1" x14ac:dyDescent="0.2">
      <c r="A125" s="85">
        <v>2</v>
      </c>
      <c r="B125" s="75" t="s">
        <v>381</v>
      </c>
      <c r="C125" s="218">
        <v>11999</v>
      </c>
      <c r="D125" s="218">
        <v>11911</v>
      </c>
      <c r="E125" s="218">
        <v>11396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4.1381781815151264</v>
      </c>
      <c r="D126" s="219">
        <f>IF(D125=0,0,D124/D125)</f>
        <v>4.1441524641088066</v>
      </c>
      <c r="E126" s="219">
        <f>IF(E125=0,0,E124/E125)</f>
        <v>4.2528080028080026</v>
      </c>
    </row>
    <row r="127" spans="1:8" ht="24" customHeight="1" x14ac:dyDescent="0.2">
      <c r="A127" s="85">
        <v>4</v>
      </c>
      <c r="B127" s="75" t="s">
        <v>383</v>
      </c>
      <c r="C127" s="218">
        <v>202</v>
      </c>
      <c r="D127" s="218">
        <v>201</v>
      </c>
      <c r="E127" s="218">
        <v>201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233</v>
      </c>
      <c r="E128" s="218">
        <v>233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233</v>
      </c>
      <c r="D129" s="218">
        <v>233</v>
      </c>
      <c r="E129" s="218">
        <v>233</v>
      </c>
    </row>
    <row r="130" spans="1:7" ht="24" customHeight="1" x14ac:dyDescent="0.2">
      <c r="A130" s="85">
        <v>7</v>
      </c>
      <c r="B130" s="75" t="s">
        <v>386</v>
      </c>
      <c r="C130" s="193">
        <v>0.6734</v>
      </c>
      <c r="D130" s="193">
        <v>0.67279999999999995</v>
      </c>
      <c r="E130" s="193">
        <v>0.66059999999999997</v>
      </c>
    </row>
    <row r="131" spans="1:7" ht="24" customHeight="1" x14ac:dyDescent="0.2">
      <c r="A131" s="85">
        <v>8</v>
      </c>
      <c r="B131" s="75" t="s">
        <v>387</v>
      </c>
      <c r="C131" s="193">
        <v>0.58379999999999999</v>
      </c>
      <c r="D131" s="193">
        <v>0.58040000000000003</v>
      </c>
      <c r="E131" s="193">
        <v>0.56979999999999997</v>
      </c>
    </row>
    <row r="132" spans="1:7" ht="24" customHeight="1" x14ac:dyDescent="0.2">
      <c r="A132" s="85">
        <v>9</v>
      </c>
      <c r="B132" s="75" t="s">
        <v>388</v>
      </c>
      <c r="C132" s="219">
        <v>1513.9</v>
      </c>
      <c r="D132" s="219">
        <v>1542.8</v>
      </c>
      <c r="E132" s="219">
        <v>1531.7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0.40655794650134308</v>
      </c>
      <c r="D135" s="227">
        <f>IF(D149=0,0,D143/D149)</f>
        <v>0.38285880930129662</v>
      </c>
      <c r="E135" s="227">
        <f>IF(E149=0,0,E143/E149)</f>
        <v>0.36503324260631481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0.38184447674234528</v>
      </c>
      <c r="D136" s="227">
        <f>IF(D149=0,0,D144/D149)</f>
        <v>0.40038076602001765</v>
      </c>
      <c r="E136" s="227">
        <f>IF(E149=0,0,E144/E149)</f>
        <v>0.40439717371044087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0.16946195885301804</v>
      </c>
      <c r="D137" s="227">
        <f>IF(D149=0,0,D145/D149)</f>
        <v>0.1747236892516488</v>
      </c>
      <c r="E137" s="227">
        <f>IF(E149=0,0,E145/E149)</f>
        <v>0.1891474918628113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4.0120710739635496E-3</v>
      </c>
      <c r="D138" s="227">
        <f>IF(D149=0,0,D146/D149)</f>
        <v>3.957155477019603E-3</v>
      </c>
      <c r="E138" s="227">
        <f>IF(E149=0,0,E146/E149)</f>
        <v>4.5908894297093973E-3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2.1993894867350101E-2</v>
      </c>
      <c r="D139" s="227">
        <f>IF(D149=0,0,D147/D149)</f>
        <v>2.1320129075032394E-2</v>
      </c>
      <c r="E139" s="227">
        <f>IF(E149=0,0,E147/E149)</f>
        <v>2.2258569266168916E-2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1.6129651961979938E-2</v>
      </c>
      <c r="D140" s="227">
        <f>IF(D149=0,0,D148/D149)</f>
        <v>1.6759450874984965E-2</v>
      </c>
      <c r="E140" s="227">
        <f>IF(E149=0,0,E148/E149)</f>
        <v>1.4572633124554696E-2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245585631</v>
      </c>
      <c r="D143" s="229">
        <f>+D46-D147</f>
        <v>235658963</v>
      </c>
      <c r="E143" s="229">
        <f>+E46-E147</f>
        <v>237427601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230657198</v>
      </c>
      <c r="D144" s="229">
        <f>+D51</f>
        <v>246444156</v>
      </c>
      <c r="E144" s="229">
        <f>+E51</f>
        <v>263030978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102365290</v>
      </c>
      <c r="D145" s="229">
        <f>+D55</f>
        <v>107546705</v>
      </c>
      <c r="E145" s="229">
        <f>+E55</f>
        <v>123026700</v>
      </c>
    </row>
    <row r="146" spans="1:7" ht="20.100000000000001" customHeight="1" x14ac:dyDescent="0.2">
      <c r="A146" s="226">
        <v>11</v>
      </c>
      <c r="B146" s="224" t="s">
        <v>400</v>
      </c>
      <c r="C146" s="228">
        <v>2423534</v>
      </c>
      <c r="D146" s="229">
        <v>2435726</v>
      </c>
      <c r="E146" s="229">
        <v>2986040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13285645</v>
      </c>
      <c r="D147" s="229">
        <f>+D47</f>
        <v>13123061</v>
      </c>
      <c r="E147" s="229">
        <f>+E47</f>
        <v>14477582</v>
      </c>
    </row>
    <row r="148" spans="1:7" ht="20.100000000000001" customHeight="1" x14ac:dyDescent="0.2">
      <c r="A148" s="226">
        <v>13</v>
      </c>
      <c r="B148" s="224" t="s">
        <v>402</v>
      </c>
      <c r="C148" s="230">
        <v>9743287</v>
      </c>
      <c r="D148" s="229">
        <v>10315852</v>
      </c>
      <c r="E148" s="229">
        <v>9478439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604060585</v>
      </c>
      <c r="D149" s="229">
        <f>SUM(D143:D148)</f>
        <v>615524463</v>
      </c>
      <c r="E149" s="229">
        <f>SUM(E143:E148)</f>
        <v>650427340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0.58229506401737197</v>
      </c>
      <c r="D152" s="227">
        <f>IF(D166=0,0,D160/D166)</f>
        <v>0.55078969672488576</v>
      </c>
      <c r="E152" s="227">
        <f>IF(E166=0,0,E160/E166)</f>
        <v>0.55201596983056744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0.29378803676600623</v>
      </c>
      <c r="D153" s="227">
        <f>IF(D166=0,0,D161/D166)</f>
        <v>0.33127563911706925</v>
      </c>
      <c r="E153" s="227">
        <f>IF(E166=0,0,E161/E166)</f>
        <v>0.31291095933253071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9.8863507331681685E-2</v>
      </c>
      <c r="D154" s="227">
        <f>IF(D166=0,0,D162/D166)</f>
        <v>9.4013230483508431E-2</v>
      </c>
      <c r="E154" s="227">
        <f>IF(E166=0,0,E162/E166)</f>
        <v>0.11360968598184389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2.1304331055756105E-3</v>
      </c>
      <c r="D155" s="227">
        <f>IF(D166=0,0,D163/D166)</f>
        <v>2.2701676956676481E-3</v>
      </c>
      <c r="E155" s="227">
        <f>IF(E166=0,0,E163/E166)</f>
        <v>2.9993304568040565E-3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1.1462878704269217E-2</v>
      </c>
      <c r="D156" s="227">
        <f>IF(D166=0,0,D164/D166)</f>
        <v>9.669300230886798E-3</v>
      </c>
      <c r="E156" s="227">
        <f>IF(E166=0,0,E164/E166)</f>
        <v>8.6774993883009799E-3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1.1460080075095328E-2</v>
      </c>
      <c r="D157" s="227">
        <f>IF(D166=0,0,D165/D166)</f>
        <v>1.1981965747982106E-2</v>
      </c>
      <c r="E157" s="227">
        <f>IF(E166=0,0,E165/E166)</f>
        <v>9.7865550099529349E-3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155840226</v>
      </c>
      <c r="D160" s="229">
        <f>+D44-D164</f>
        <v>152725612</v>
      </c>
      <c r="E160" s="229">
        <f>+E44-E164</f>
        <v>151750489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78626794</v>
      </c>
      <c r="D161" s="229">
        <f>+D50</f>
        <v>91857700</v>
      </c>
      <c r="E161" s="229">
        <f>+E50</f>
        <v>86019959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26458942</v>
      </c>
      <c r="D162" s="229">
        <f>+D54</f>
        <v>26068440</v>
      </c>
      <c r="E162" s="229">
        <f>+E54</f>
        <v>31231570</v>
      </c>
    </row>
    <row r="163" spans="1:6" ht="20.100000000000001" customHeight="1" x14ac:dyDescent="0.2">
      <c r="A163" s="226">
        <v>11</v>
      </c>
      <c r="B163" s="224" t="s">
        <v>415</v>
      </c>
      <c r="C163" s="228">
        <v>570170</v>
      </c>
      <c r="D163" s="229">
        <v>629483</v>
      </c>
      <c r="E163" s="229">
        <v>824523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3067822</v>
      </c>
      <c r="D164" s="229">
        <f>+D45</f>
        <v>2681150</v>
      </c>
      <c r="E164" s="229">
        <f>+E45</f>
        <v>2385465</v>
      </c>
    </row>
    <row r="165" spans="1:6" ht="20.100000000000001" customHeight="1" x14ac:dyDescent="0.2">
      <c r="A165" s="226">
        <v>13</v>
      </c>
      <c r="B165" s="224" t="s">
        <v>417</v>
      </c>
      <c r="C165" s="230">
        <v>3067073</v>
      </c>
      <c r="D165" s="229">
        <v>3322417</v>
      </c>
      <c r="E165" s="229">
        <v>2690347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267631027</v>
      </c>
      <c r="D166" s="229">
        <f>SUM(D160:D165)</f>
        <v>277284802</v>
      </c>
      <c r="E166" s="229">
        <f>SUM(E160:E165)</f>
        <v>274902353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4178</v>
      </c>
      <c r="D169" s="218">
        <v>3836</v>
      </c>
      <c r="E169" s="218">
        <v>3554</v>
      </c>
    </row>
    <row r="170" spans="1:6" ht="20.100000000000001" customHeight="1" x14ac:dyDescent="0.2">
      <c r="A170" s="226">
        <v>2</v>
      </c>
      <c r="B170" s="224" t="s">
        <v>420</v>
      </c>
      <c r="C170" s="218">
        <v>5200</v>
      </c>
      <c r="D170" s="218">
        <v>5508</v>
      </c>
      <c r="E170" s="218">
        <v>5244</v>
      </c>
    </row>
    <row r="171" spans="1:6" ht="20.100000000000001" customHeight="1" x14ac:dyDescent="0.2">
      <c r="A171" s="226">
        <v>3</v>
      </c>
      <c r="B171" s="224" t="s">
        <v>421</v>
      </c>
      <c r="C171" s="218">
        <v>2384</v>
      </c>
      <c r="D171" s="218">
        <v>2347</v>
      </c>
      <c r="E171" s="218">
        <v>2409</v>
      </c>
    </row>
    <row r="172" spans="1:6" ht="20.100000000000001" customHeight="1" x14ac:dyDescent="0.2">
      <c r="A172" s="226">
        <v>4</v>
      </c>
      <c r="B172" s="224" t="s">
        <v>422</v>
      </c>
      <c r="C172" s="218">
        <v>2318</v>
      </c>
      <c r="D172" s="218">
        <v>2286</v>
      </c>
      <c r="E172" s="218">
        <v>2341</v>
      </c>
    </row>
    <row r="173" spans="1:6" ht="20.100000000000001" customHeight="1" x14ac:dyDescent="0.2">
      <c r="A173" s="226">
        <v>5</v>
      </c>
      <c r="B173" s="224" t="s">
        <v>423</v>
      </c>
      <c r="C173" s="218">
        <v>66</v>
      </c>
      <c r="D173" s="218">
        <v>61</v>
      </c>
      <c r="E173" s="218">
        <v>68</v>
      </c>
    </row>
    <row r="174" spans="1:6" ht="20.100000000000001" customHeight="1" x14ac:dyDescent="0.2">
      <c r="A174" s="226">
        <v>6</v>
      </c>
      <c r="B174" s="224" t="s">
        <v>424</v>
      </c>
      <c r="C174" s="218">
        <v>237</v>
      </c>
      <c r="D174" s="218">
        <v>220</v>
      </c>
      <c r="E174" s="218">
        <v>189</v>
      </c>
    </row>
    <row r="175" spans="1:6" ht="20.100000000000001" customHeight="1" x14ac:dyDescent="0.2">
      <c r="A175" s="226">
        <v>7</v>
      </c>
      <c r="B175" s="224" t="s">
        <v>425</v>
      </c>
      <c r="C175" s="218">
        <v>172</v>
      </c>
      <c r="D175" s="218">
        <v>124</v>
      </c>
      <c r="E175" s="218">
        <v>132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11999</v>
      </c>
      <c r="D176" s="218">
        <f>+D169+D170+D171+D174</f>
        <v>11911</v>
      </c>
      <c r="E176" s="218">
        <f>+E169+E170+E171+E174</f>
        <v>11396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1.2574000000000001</v>
      </c>
      <c r="D179" s="231">
        <v>1.2529999999999999</v>
      </c>
      <c r="E179" s="231">
        <v>1.2533000000000001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1.4507000000000001</v>
      </c>
      <c r="D180" s="231">
        <v>1.3653999999999999</v>
      </c>
      <c r="E180" s="231">
        <v>1.4244000000000001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1.0012939999999999</v>
      </c>
      <c r="D181" s="231">
        <v>1.0055730000000001</v>
      </c>
      <c r="E181" s="231">
        <v>1.0555380000000001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0.99650000000000005</v>
      </c>
      <c r="D182" s="231">
        <v>1.0051000000000001</v>
      </c>
      <c r="E182" s="231">
        <v>1.0599000000000001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1.1697</v>
      </c>
      <c r="D183" s="231">
        <v>1.0233000000000001</v>
      </c>
      <c r="E183" s="231">
        <v>0.90539999999999998</v>
      </c>
    </row>
    <row r="184" spans="1:6" ht="20.100000000000001" customHeight="1" x14ac:dyDescent="0.2">
      <c r="A184" s="226">
        <v>6</v>
      </c>
      <c r="B184" s="224" t="s">
        <v>424</v>
      </c>
      <c r="C184" s="231">
        <v>0.83979999999999999</v>
      </c>
      <c r="D184" s="231">
        <v>0.94120000000000004</v>
      </c>
      <c r="E184" s="231">
        <v>0.7319</v>
      </c>
    </row>
    <row r="185" spans="1:6" ht="20.100000000000001" customHeight="1" x14ac:dyDescent="0.2">
      <c r="A185" s="226">
        <v>7</v>
      </c>
      <c r="B185" s="224" t="s">
        <v>425</v>
      </c>
      <c r="C185" s="231">
        <v>1.0202</v>
      </c>
      <c r="D185" s="231">
        <v>1.1507000000000001</v>
      </c>
      <c r="E185" s="231">
        <v>0.99509999999999998</v>
      </c>
    </row>
    <row r="186" spans="1:6" ht="20.100000000000001" customHeight="1" x14ac:dyDescent="0.2">
      <c r="A186" s="226">
        <v>8</v>
      </c>
      <c r="B186" s="224" t="s">
        <v>429</v>
      </c>
      <c r="C186" s="231">
        <v>1.282038</v>
      </c>
      <c r="D186" s="231">
        <v>1.2504630000000001</v>
      </c>
      <c r="E186" s="231">
        <v>1.2815810000000001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6846</v>
      </c>
      <c r="D189" s="218">
        <v>7364</v>
      </c>
      <c r="E189" s="218">
        <v>7289</v>
      </c>
    </row>
    <row r="190" spans="1:6" ht="20.100000000000001" customHeight="1" x14ac:dyDescent="0.2">
      <c r="A190" s="226">
        <v>2</v>
      </c>
      <c r="B190" s="224" t="s">
        <v>433</v>
      </c>
      <c r="C190" s="218">
        <v>56352</v>
      </c>
      <c r="D190" s="218">
        <v>60738</v>
      </c>
      <c r="E190" s="218">
        <v>71555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63198</v>
      </c>
      <c r="D191" s="218">
        <f>+D190+D189</f>
        <v>68102</v>
      </c>
      <c r="E191" s="218">
        <f>+E190+E189</f>
        <v>78844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1482310</v>
      </c>
      <c r="D14" s="258">
        <v>1040740</v>
      </c>
      <c r="E14" s="258">
        <f t="shared" ref="E14:E24" si="0">D14-C14</f>
        <v>-441570</v>
      </c>
      <c r="F14" s="259">
        <f t="shared" ref="F14:F24" si="1">IF(C14=0,0,E14/C14)</f>
        <v>-0.2978931532540427</v>
      </c>
    </row>
    <row r="15" spans="1:7" ht="20.25" customHeight="1" x14ac:dyDescent="0.3">
      <c r="A15" s="256">
        <v>2</v>
      </c>
      <c r="B15" s="257" t="s">
        <v>442</v>
      </c>
      <c r="C15" s="258">
        <v>594747</v>
      </c>
      <c r="D15" s="258">
        <v>486880</v>
      </c>
      <c r="E15" s="258">
        <f t="shared" si="0"/>
        <v>-107867</v>
      </c>
      <c r="F15" s="259">
        <f t="shared" si="1"/>
        <v>-0.1813661943649989</v>
      </c>
    </row>
    <row r="16" spans="1:7" ht="20.25" customHeight="1" x14ac:dyDescent="0.3">
      <c r="A16" s="256">
        <v>3</v>
      </c>
      <c r="B16" s="257" t="s">
        <v>443</v>
      </c>
      <c r="C16" s="258">
        <v>2100622</v>
      </c>
      <c r="D16" s="258">
        <v>1582009</v>
      </c>
      <c r="E16" s="258">
        <f t="shared" si="0"/>
        <v>-518613</v>
      </c>
      <c r="F16" s="259">
        <f t="shared" si="1"/>
        <v>-0.24688544631066417</v>
      </c>
    </row>
    <row r="17" spans="1:6" ht="20.25" customHeight="1" x14ac:dyDescent="0.3">
      <c r="A17" s="256">
        <v>4</v>
      </c>
      <c r="B17" s="257" t="s">
        <v>444</v>
      </c>
      <c r="C17" s="258">
        <v>657965</v>
      </c>
      <c r="D17" s="258">
        <v>314344</v>
      </c>
      <c r="E17" s="258">
        <f t="shared" si="0"/>
        <v>-343621</v>
      </c>
      <c r="F17" s="259">
        <f t="shared" si="1"/>
        <v>-0.52224814389823171</v>
      </c>
    </row>
    <row r="18" spans="1:6" ht="20.25" customHeight="1" x14ac:dyDescent="0.3">
      <c r="A18" s="256">
        <v>5</v>
      </c>
      <c r="B18" s="257" t="s">
        <v>381</v>
      </c>
      <c r="C18" s="260">
        <v>64</v>
      </c>
      <c r="D18" s="260">
        <v>50</v>
      </c>
      <c r="E18" s="260">
        <f t="shared" si="0"/>
        <v>-14</v>
      </c>
      <c r="F18" s="259">
        <f t="shared" si="1"/>
        <v>-0.21875</v>
      </c>
    </row>
    <row r="19" spans="1:6" ht="20.25" customHeight="1" x14ac:dyDescent="0.3">
      <c r="A19" s="256">
        <v>6</v>
      </c>
      <c r="B19" s="257" t="s">
        <v>380</v>
      </c>
      <c r="C19" s="260">
        <v>297</v>
      </c>
      <c r="D19" s="260">
        <v>193</v>
      </c>
      <c r="E19" s="260">
        <f t="shared" si="0"/>
        <v>-104</v>
      </c>
      <c r="F19" s="259">
        <f t="shared" si="1"/>
        <v>-0.35016835016835018</v>
      </c>
    </row>
    <row r="20" spans="1:6" ht="20.25" customHeight="1" x14ac:dyDescent="0.3">
      <c r="A20" s="256">
        <v>7</v>
      </c>
      <c r="B20" s="257" t="s">
        <v>445</v>
      </c>
      <c r="C20" s="260">
        <v>1253</v>
      </c>
      <c r="D20" s="260">
        <v>983</v>
      </c>
      <c r="E20" s="260">
        <f t="shared" si="0"/>
        <v>-270</v>
      </c>
      <c r="F20" s="259">
        <f t="shared" si="1"/>
        <v>-0.2154828411811652</v>
      </c>
    </row>
    <row r="21" spans="1:6" ht="20.25" customHeight="1" x14ac:dyDescent="0.3">
      <c r="A21" s="256">
        <v>8</v>
      </c>
      <c r="B21" s="257" t="s">
        <v>446</v>
      </c>
      <c r="C21" s="260">
        <v>98</v>
      </c>
      <c r="D21" s="260">
        <v>77</v>
      </c>
      <c r="E21" s="260">
        <f t="shared" si="0"/>
        <v>-21</v>
      </c>
      <c r="F21" s="259">
        <f t="shared" si="1"/>
        <v>-0.21428571428571427</v>
      </c>
    </row>
    <row r="22" spans="1:6" ht="20.25" customHeight="1" x14ac:dyDescent="0.3">
      <c r="A22" s="256">
        <v>9</v>
      </c>
      <c r="B22" s="257" t="s">
        <v>447</v>
      </c>
      <c r="C22" s="260">
        <v>49</v>
      </c>
      <c r="D22" s="260">
        <v>41</v>
      </c>
      <c r="E22" s="260">
        <f t="shared" si="0"/>
        <v>-8</v>
      </c>
      <c r="F22" s="259">
        <f t="shared" si="1"/>
        <v>-0.16326530612244897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3582932</v>
      </c>
      <c r="D23" s="263">
        <f>+D14+D16</f>
        <v>2622749</v>
      </c>
      <c r="E23" s="263">
        <f t="shared" si="0"/>
        <v>-960183</v>
      </c>
      <c r="F23" s="264">
        <f t="shared" si="1"/>
        <v>-0.26798806117447943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1252712</v>
      </c>
      <c r="D24" s="263">
        <f>+D15+D17</f>
        <v>801224</v>
      </c>
      <c r="E24" s="263">
        <f t="shared" si="0"/>
        <v>-451488</v>
      </c>
      <c r="F24" s="264">
        <f t="shared" si="1"/>
        <v>-0.36040845780993558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8057333</v>
      </c>
      <c r="D40" s="258">
        <v>8487511</v>
      </c>
      <c r="E40" s="258">
        <f t="shared" ref="E40:E50" si="4">D40-C40</f>
        <v>430178</v>
      </c>
      <c r="F40" s="259">
        <f t="shared" ref="F40:F50" si="5">IF(C40=0,0,E40/C40)</f>
        <v>5.3389626567500688E-2</v>
      </c>
    </row>
    <row r="41" spans="1:6" ht="20.25" customHeight="1" x14ac:dyDescent="0.3">
      <c r="A41" s="256">
        <v>2</v>
      </c>
      <c r="B41" s="257" t="s">
        <v>442</v>
      </c>
      <c r="C41" s="258">
        <v>3335697</v>
      </c>
      <c r="D41" s="258">
        <v>3780515</v>
      </c>
      <c r="E41" s="258">
        <f t="shared" si="4"/>
        <v>444818</v>
      </c>
      <c r="F41" s="259">
        <f t="shared" si="5"/>
        <v>0.13335084091870456</v>
      </c>
    </row>
    <row r="42" spans="1:6" ht="20.25" customHeight="1" x14ac:dyDescent="0.3">
      <c r="A42" s="256">
        <v>3</v>
      </c>
      <c r="B42" s="257" t="s">
        <v>443</v>
      </c>
      <c r="C42" s="258">
        <v>10478050</v>
      </c>
      <c r="D42" s="258">
        <v>14568978</v>
      </c>
      <c r="E42" s="258">
        <f t="shared" si="4"/>
        <v>4090928</v>
      </c>
      <c r="F42" s="259">
        <f t="shared" si="5"/>
        <v>0.39042837169129752</v>
      </c>
    </row>
    <row r="43" spans="1:6" ht="20.25" customHeight="1" x14ac:dyDescent="0.3">
      <c r="A43" s="256">
        <v>4</v>
      </c>
      <c r="B43" s="257" t="s">
        <v>444</v>
      </c>
      <c r="C43" s="258">
        <v>2338036</v>
      </c>
      <c r="D43" s="258">
        <v>3293425</v>
      </c>
      <c r="E43" s="258">
        <f t="shared" si="4"/>
        <v>955389</v>
      </c>
      <c r="F43" s="259">
        <f t="shared" si="5"/>
        <v>0.40862886627921896</v>
      </c>
    </row>
    <row r="44" spans="1:6" ht="20.25" customHeight="1" x14ac:dyDescent="0.3">
      <c r="A44" s="256">
        <v>5</v>
      </c>
      <c r="B44" s="257" t="s">
        <v>381</v>
      </c>
      <c r="C44" s="260">
        <v>370</v>
      </c>
      <c r="D44" s="260">
        <v>359</v>
      </c>
      <c r="E44" s="260">
        <f t="shared" si="4"/>
        <v>-11</v>
      </c>
      <c r="F44" s="259">
        <f t="shared" si="5"/>
        <v>-2.9729729729729731E-2</v>
      </c>
    </row>
    <row r="45" spans="1:6" ht="20.25" customHeight="1" x14ac:dyDescent="0.3">
      <c r="A45" s="256">
        <v>6</v>
      </c>
      <c r="B45" s="257" t="s">
        <v>380</v>
      </c>
      <c r="C45" s="260">
        <v>1650</v>
      </c>
      <c r="D45" s="260">
        <v>1640</v>
      </c>
      <c r="E45" s="260">
        <f t="shared" si="4"/>
        <v>-10</v>
      </c>
      <c r="F45" s="259">
        <f t="shared" si="5"/>
        <v>-6.0606060606060606E-3</v>
      </c>
    </row>
    <row r="46" spans="1:6" ht="20.25" customHeight="1" x14ac:dyDescent="0.3">
      <c r="A46" s="256">
        <v>7</v>
      </c>
      <c r="B46" s="257" t="s">
        <v>445</v>
      </c>
      <c r="C46" s="260">
        <v>7377</v>
      </c>
      <c r="D46" s="260">
        <v>9464</v>
      </c>
      <c r="E46" s="260">
        <f t="shared" si="4"/>
        <v>2087</v>
      </c>
      <c r="F46" s="259">
        <f t="shared" si="5"/>
        <v>0.28290633048664771</v>
      </c>
    </row>
    <row r="47" spans="1:6" ht="20.25" customHeight="1" x14ac:dyDescent="0.3">
      <c r="A47" s="256">
        <v>8</v>
      </c>
      <c r="B47" s="257" t="s">
        <v>446</v>
      </c>
      <c r="C47" s="260">
        <v>491</v>
      </c>
      <c r="D47" s="260">
        <v>535</v>
      </c>
      <c r="E47" s="260">
        <f t="shared" si="4"/>
        <v>44</v>
      </c>
      <c r="F47" s="259">
        <f t="shared" si="5"/>
        <v>8.9613034623217916E-2</v>
      </c>
    </row>
    <row r="48" spans="1:6" ht="20.25" customHeight="1" x14ac:dyDescent="0.3">
      <c r="A48" s="256">
        <v>9</v>
      </c>
      <c r="B48" s="257" t="s">
        <v>447</v>
      </c>
      <c r="C48" s="260">
        <v>282</v>
      </c>
      <c r="D48" s="260">
        <v>269</v>
      </c>
      <c r="E48" s="260">
        <f t="shared" si="4"/>
        <v>-13</v>
      </c>
      <c r="F48" s="259">
        <f t="shared" si="5"/>
        <v>-4.6099290780141841E-2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18535383</v>
      </c>
      <c r="D49" s="263">
        <f>+D40+D42</f>
        <v>23056489</v>
      </c>
      <c r="E49" s="263">
        <f t="shared" si="4"/>
        <v>4521106</v>
      </c>
      <c r="F49" s="264">
        <f t="shared" si="5"/>
        <v>0.24391759263890042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5673733</v>
      </c>
      <c r="D50" s="263">
        <f>+D41+D43</f>
        <v>7073940</v>
      </c>
      <c r="E50" s="263">
        <f t="shared" si="4"/>
        <v>1400207</v>
      </c>
      <c r="F50" s="264">
        <f t="shared" si="5"/>
        <v>0.24678760879301159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14651</v>
      </c>
      <c r="D53" s="258">
        <v>0</v>
      </c>
      <c r="E53" s="258">
        <f t="shared" ref="E53:E63" si="6">D53-C53</f>
        <v>-14651</v>
      </c>
      <c r="F53" s="259">
        <f t="shared" ref="F53:F63" si="7">IF(C53=0,0,E53/C53)</f>
        <v>-1</v>
      </c>
    </row>
    <row r="54" spans="1:6" ht="20.25" customHeight="1" x14ac:dyDescent="0.3">
      <c r="A54" s="256">
        <v>2</v>
      </c>
      <c r="B54" s="257" t="s">
        <v>442</v>
      </c>
      <c r="C54" s="258">
        <v>6845</v>
      </c>
      <c r="D54" s="258">
        <v>0</v>
      </c>
      <c r="E54" s="258">
        <f t="shared" si="6"/>
        <v>-6845</v>
      </c>
      <c r="F54" s="259">
        <f t="shared" si="7"/>
        <v>-1</v>
      </c>
    </row>
    <row r="55" spans="1:6" ht="20.25" customHeight="1" x14ac:dyDescent="0.3">
      <c r="A55" s="256">
        <v>3</v>
      </c>
      <c r="B55" s="257" t="s">
        <v>443</v>
      </c>
      <c r="C55" s="258">
        <v>18749</v>
      </c>
      <c r="D55" s="258">
        <v>0</v>
      </c>
      <c r="E55" s="258">
        <f t="shared" si="6"/>
        <v>-18749</v>
      </c>
      <c r="F55" s="259">
        <f t="shared" si="7"/>
        <v>-1</v>
      </c>
    </row>
    <row r="56" spans="1:6" ht="20.25" customHeight="1" x14ac:dyDescent="0.3">
      <c r="A56" s="256">
        <v>4</v>
      </c>
      <c r="B56" s="257" t="s">
        <v>444</v>
      </c>
      <c r="C56" s="258">
        <v>3936</v>
      </c>
      <c r="D56" s="258">
        <v>0</v>
      </c>
      <c r="E56" s="258">
        <f t="shared" si="6"/>
        <v>-3936</v>
      </c>
      <c r="F56" s="259">
        <f t="shared" si="7"/>
        <v>-1</v>
      </c>
    </row>
    <row r="57" spans="1:6" ht="20.25" customHeight="1" x14ac:dyDescent="0.3">
      <c r="A57" s="256">
        <v>5</v>
      </c>
      <c r="B57" s="257" t="s">
        <v>381</v>
      </c>
      <c r="C57" s="260">
        <v>1</v>
      </c>
      <c r="D57" s="260">
        <v>0</v>
      </c>
      <c r="E57" s="260">
        <f t="shared" si="6"/>
        <v>-1</v>
      </c>
      <c r="F57" s="259">
        <f t="shared" si="7"/>
        <v>-1</v>
      </c>
    </row>
    <row r="58" spans="1:6" ht="20.25" customHeight="1" x14ac:dyDescent="0.3">
      <c r="A58" s="256">
        <v>6</v>
      </c>
      <c r="B58" s="257" t="s">
        <v>380</v>
      </c>
      <c r="C58" s="260">
        <v>4</v>
      </c>
      <c r="D58" s="260">
        <v>0</v>
      </c>
      <c r="E58" s="260">
        <f t="shared" si="6"/>
        <v>-4</v>
      </c>
      <c r="F58" s="259">
        <f t="shared" si="7"/>
        <v>-1</v>
      </c>
    </row>
    <row r="59" spans="1:6" ht="20.25" customHeight="1" x14ac:dyDescent="0.3">
      <c r="A59" s="256">
        <v>7</v>
      </c>
      <c r="B59" s="257" t="s">
        <v>445</v>
      </c>
      <c r="C59" s="260">
        <v>13</v>
      </c>
      <c r="D59" s="260">
        <v>0</v>
      </c>
      <c r="E59" s="260">
        <f t="shared" si="6"/>
        <v>-13</v>
      </c>
      <c r="F59" s="259">
        <f t="shared" si="7"/>
        <v>-1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1</v>
      </c>
      <c r="D61" s="260">
        <v>0</v>
      </c>
      <c r="E61" s="260">
        <f t="shared" si="6"/>
        <v>-1</v>
      </c>
      <c r="F61" s="259">
        <f t="shared" si="7"/>
        <v>-1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33400</v>
      </c>
      <c r="D62" s="263">
        <f>+D53+D55</f>
        <v>0</v>
      </c>
      <c r="E62" s="263">
        <f t="shared" si="6"/>
        <v>-33400</v>
      </c>
      <c r="F62" s="264">
        <f t="shared" si="7"/>
        <v>-1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10781</v>
      </c>
      <c r="D63" s="263">
        <f>+D54+D56</f>
        <v>0</v>
      </c>
      <c r="E63" s="263">
        <f t="shared" si="6"/>
        <v>-10781</v>
      </c>
      <c r="F63" s="264">
        <f t="shared" si="7"/>
        <v>-1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603502</v>
      </c>
      <c r="D66" s="258">
        <v>1069710</v>
      </c>
      <c r="E66" s="258">
        <f t="shared" ref="E66:E76" si="8">D66-C66</f>
        <v>466208</v>
      </c>
      <c r="F66" s="259">
        <f t="shared" ref="F66:F76" si="9">IF(C66=0,0,E66/C66)</f>
        <v>0.77250448217238721</v>
      </c>
    </row>
    <row r="67" spans="1:6" ht="20.25" customHeight="1" x14ac:dyDescent="0.3">
      <c r="A67" s="256">
        <v>2</v>
      </c>
      <c r="B67" s="257" t="s">
        <v>442</v>
      </c>
      <c r="C67" s="258">
        <v>303529</v>
      </c>
      <c r="D67" s="258">
        <v>445724</v>
      </c>
      <c r="E67" s="258">
        <f t="shared" si="8"/>
        <v>142195</v>
      </c>
      <c r="F67" s="259">
        <f t="shared" si="9"/>
        <v>0.46847253474956263</v>
      </c>
    </row>
    <row r="68" spans="1:6" ht="20.25" customHeight="1" x14ac:dyDescent="0.3">
      <c r="A68" s="256">
        <v>3</v>
      </c>
      <c r="B68" s="257" t="s">
        <v>443</v>
      </c>
      <c r="C68" s="258">
        <v>748773</v>
      </c>
      <c r="D68" s="258">
        <v>674988</v>
      </c>
      <c r="E68" s="258">
        <f t="shared" si="8"/>
        <v>-73785</v>
      </c>
      <c r="F68" s="259">
        <f t="shared" si="9"/>
        <v>-9.8541213425163574E-2</v>
      </c>
    </row>
    <row r="69" spans="1:6" ht="20.25" customHeight="1" x14ac:dyDescent="0.3">
      <c r="A69" s="256">
        <v>4</v>
      </c>
      <c r="B69" s="257" t="s">
        <v>444</v>
      </c>
      <c r="C69" s="258">
        <v>206827</v>
      </c>
      <c r="D69" s="258">
        <v>163063</v>
      </c>
      <c r="E69" s="258">
        <f t="shared" si="8"/>
        <v>-43764</v>
      </c>
      <c r="F69" s="259">
        <f t="shared" si="9"/>
        <v>-0.2115971319025079</v>
      </c>
    </row>
    <row r="70" spans="1:6" ht="20.25" customHeight="1" x14ac:dyDescent="0.3">
      <c r="A70" s="256">
        <v>5</v>
      </c>
      <c r="B70" s="257" t="s">
        <v>381</v>
      </c>
      <c r="C70" s="260">
        <v>38</v>
      </c>
      <c r="D70" s="260">
        <v>44</v>
      </c>
      <c r="E70" s="260">
        <f t="shared" si="8"/>
        <v>6</v>
      </c>
      <c r="F70" s="259">
        <f t="shared" si="9"/>
        <v>0.15789473684210525</v>
      </c>
    </row>
    <row r="71" spans="1:6" ht="20.25" customHeight="1" x14ac:dyDescent="0.3">
      <c r="A71" s="256">
        <v>6</v>
      </c>
      <c r="B71" s="257" t="s">
        <v>380</v>
      </c>
      <c r="C71" s="260">
        <v>136</v>
      </c>
      <c r="D71" s="260">
        <v>256</v>
      </c>
      <c r="E71" s="260">
        <f t="shared" si="8"/>
        <v>120</v>
      </c>
      <c r="F71" s="259">
        <f t="shared" si="9"/>
        <v>0.88235294117647056</v>
      </c>
    </row>
    <row r="72" spans="1:6" ht="20.25" customHeight="1" x14ac:dyDescent="0.3">
      <c r="A72" s="256">
        <v>7</v>
      </c>
      <c r="B72" s="257" t="s">
        <v>445</v>
      </c>
      <c r="C72" s="260">
        <v>371</v>
      </c>
      <c r="D72" s="260">
        <v>316</v>
      </c>
      <c r="E72" s="260">
        <f t="shared" si="8"/>
        <v>-55</v>
      </c>
      <c r="F72" s="259">
        <f t="shared" si="9"/>
        <v>-0.14824797843665768</v>
      </c>
    </row>
    <row r="73" spans="1:6" ht="20.25" customHeight="1" x14ac:dyDescent="0.3">
      <c r="A73" s="256">
        <v>8</v>
      </c>
      <c r="B73" s="257" t="s">
        <v>446</v>
      </c>
      <c r="C73" s="260">
        <v>94</v>
      </c>
      <c r="D73" s="260">
        <v>96</v>
      </c>
      <c r="E73" s="260">
        <f t="shared" si="8"/>
        <v>2</v>
      </c>
      <c r="F73" s="259">
        <f t="shared" si="9"/>
        <v>2.1276595744680851E-2</v>
      </c>
    </row>
    <row r="74" spans="1:6" ht="20.25" customHeight="1" x14ac:dyDescent="0.3">
      <c r="A74" s="256">
        <v>9</v>
      </c>
      <c r="B74" s="257" t="s">
        <v>447</v>
      </c>
      <c r="C74" s="260">
        <v>34</v>
      </c>
      <c r="D74" s="260">
        <v>40</v>
      </c>
      <c r="E74" s="260">
        <f t="shared" si="8"/>
        <v>6</v>
      </c>
      <c r="F74" s="259">
        <f t="shared" si="9"/>
        <v>0.17647058823529413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1352275</v>
      </c>
      <c r="D75" s="263">
        <f>+D66+D68</f>
        <v>1744698</v>
      </c>
      <c r="E75" s="263">
        <f t="shared" si="8"/>
        <v>392423</v>
      </c>
      <c r="F75" s="264">
        <f t="shared" si="9"/>
        <v>0.29019467194172782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510356</v>
      </c>
      <c r="D76" s="263">
        <f>+D67+D69</f>
        <v>608787</v>
      </c>
      <c r="E76" s="263">
        <f t="shared" si="8"/>
        <v>98431</v>
      </c>
      <c r="F76" s="264">
        <f t="shared" si="9"/>
        <v>0.19286733182327631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19471</v>
      </c>
      <c r="D79" s="258">
        <v>0</v>
      </c>
      <c r="E79" s="258">
        <f t="shared" ref="E79:E89" si="10">D79-C79</f>
        <v>-19471</v>
      </c>
      <c r="F79" s="259">
        <f t="shared" ref="F79:F89" si="11">IF(C79=0,0,E79/C79)</f>
        <v>-1</v>
      </c>
    </row>
    <row r="80" spans="1:6" ht="20.25" customHeight="1" x14ac:dyDescent="0.3">
      <c r="A80" s="256">
        <v>2</v>
      </c>
      <c r="B80" s="257" t="s">
        <v>442</v>
      </c>
      <c r="C80" s="258">
        <v>7050</v>
      </c>
      <c r="D80" s="258">
        <v>0</v>
      </c>
      <c r="E80" s="258">
        <f t="shared" si="10"/>
        <v>-7050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737</v>
      </c>
      <c r="D81" s="258">
        <v>0</v>
      </c>
      <c r="E81" s="258">
        <f t="shared" si="10"/>
        <v>-737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111</v>
      </c>
      <c r="D82" s="258">
        <v>0</v>
      </c>
      <c r="E82" s="258">
        <f t="shared" si="10"/>
        <v>-111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1</v>
      </c>
      <c r="D83" s="260">
        <v>0</v>
      </c>
      <c r="E83" s="260">
        <f t="shared" si="10"/>
        <v>-1</v>
      </c>
      <c r="F83" s="259">
        <f t="shared" si="11"/>
        <v>-1</v>
      </c>
    </row>
    <row r="84" spans="1:6" ht="20.25" customHeight="1" x14ac:dyDescent="0.3">
      <c r="A84" s="256">
        <v>6</v>
      </c>
      <c r="B84" s="257" t="s">
        <v>380</v>
      </c>
      <c r="C84" s="260">
        <v>3</v>
      </c>
      <c r="D84" s="260">
        <v>0</v>
      </c>
      <c r="E84" s="260">
        <f t="shared" si="10"/>
        <v>-3</v>
      </c>
      <c r="F84" s="259">
        <f t="shared" si="11"/>
        <v>-1</v>
      </c>
    </row>
    <row r="85" spans="1:6" ht="20.25" customHeight="1" x14ac:dyDescent="0.3">
      <c r="A85" s="256">
        <v>7</v>
      </c>
      <c r="B85" s="257" t="s">
        <v>445</v>
      </c>
      <c r="C85" s="260">
        <v>5</v>
      </c>
      <c r="D85" s="260">
        <v>0</v>
      </c>
      <c r="E85" s="260">
        <f t="shared" si="10"/>
        <v>-5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1</v>
      </c>
      <c r="D87" s="260">
        <v>0</v>
      </c>
      <c r="E87" s="260">
        <f t="shared" si="10"/>
        <v>-1</v>
      </c>
      <c r="F87" s="259">
        <f t="shared" si="11"/>
        <v>-1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20208</v>
      </c>
      <c r="D88" s="263">
        <f>+D79+D81</f>
        <v>0</v>
      </c>
      <c r="E88" s="263">
        <f t="shared" si="10"/>
        <v>-20208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7161</v>
      </c>
      <c r="D89" s="263">
        <f>+D80+D82</f>
        <v>0</v>
      </c>
      <c r="E89" s="263">
        <f t="shared" si="10"/>
        <v>-7161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6043646</v>
      </c>
      <c r="D92" s="258">
        <v>5932061</v>
      </c>
      <c r="E92" s="258">
        <f t="shared" ref="E92:E102" si="12">D92-C92</f>
        <v>-111585</v>
      </c>
      <c r="F92" s="259">
        <f t="shared" ref="F92:F102" si="13">IF(C92=0,0,E92/C92)</f>
        <v>-1.846319258275551E-2</v>
      </c>
    </row>
    <row r="93" spans="1:6" ht="20.25" customHeight="1" x14ac:dyDescent="0.3">
      <c r="A93" s="256">
        <v>2</v>
      </c>
      <c r="B93" s="257" t="s">
        <v>442</v>
      </c>
      <c r="C93" s="258">
        <v>2410603</v>
      </c>
      <c r="D93" s="258">
        <v>2293705</v>
      </c>
      <c r="E93" s="258">
        <f t="shared" si="12"/>
        <v>-116898</v>
      </c>
      <c r="F93" s="259">
        <f t="shared" si="13"/>
        <v>-4.8493260814825169E-2</v>
      </c>
    </row>
    <row r="94" spans="1:6" ht="20.25" customHeight="1" x14ac:dyDescent="0.3">
      <c r="A94" s="256">
        <v>3</v>
      </c>
      <c r="B94" s="257" t="s">
        <v>443</v>
      </c>
      <c r="C94" s="258">
        <v>5541836</v>
      </c>
      <c r="D94" s="258">
        <v>6494536</v>
      </c>
      <c r="E94" s="258">
        <f t="shared" si="12"/>
        <v>952700</v>
      </c>
      <c r="F94" s="259">
        <f t="shared" si="13"/>
        <v>0.17191053650811752</v>
      </c>
    </row>
    <row r="95" spans="1:6" ht="20.25" customHeight="1" x14ac:dyDescent="0.3">
      <c r="A95" s="256">
        <v>4</v>
      </c>
      <c r="B95" s="257" t="s">
        <v>444</v>
      </c>
      <c r="C95" s="258">
        <v>1330734</v>
      </c>
      <c r="D95" s="258">
        <v>1462340</v>
      </c>
      <c r="E95" s="258">
        <f t="shared" si="12"/>
        <v>131606</v>
      </c>
      <c r="F95" s="259">
        <f t="shared" si="13"/>
        <v>9.8897300286909323E-2</v>
      </c>
    </row>
    <row r="96" spans="1:6" ht="20.25" customHeight="1" x14ac:dyDescent="0.3">
      <c r="A96" s="256">
        <v>5</v>
      </c>
      <c r="B96" s="257" t="s">
        <v>381</v>
      </c>
      <c r="C96" s="260">
        <v>244</v>
      </c>
      <c r="D96" s="260">
        <v>221</v>
      </c>
      <c r="E96" s="260">
        <f t="shared" si="12"/>
        <v>-23</v>
      </c>
      <c r="F96" s="259">
        <f t="shared" si="13"/>
        <v>-9.4262295081967207E-2</v>
      </c>
    </row>
    <row r="97" spans="1:6" ht="20.25" customHeight="1" x14ac:dyDescent="0.3">
      <c r="A97" s="256">
        <v>6</v>
      </c>
      <c r="B97" s="257" t="s">
        <v>380</v>
      </c>
      <c r="C97" s="260">
        <v>1179</v>
      </c>
      <c r="D97" s="260">
        <v>1131</v>
      </c>
      <c r="E97" s="260">
        <f t="shared" si="12"/>
        <v>-48</v>
      </c>
      <c r="F97" s="259">
        <f t="shared" si="13"/>
        <v>-4.0712468193384227E-2</v>
      </c>
    </row>
    <row r="98" spans="1:6" ht="20.25" customHeight="1" x14ac:dyDescent="0.3">
      <c r="A98" s="256">
        <v>7</v>
      </c>
      <c r="B98" s="257" t="s">
        <v>445</v>
      </c>
      <c r="C98" s="260">
        <v>3392</v>
      </c>
      <c r="D98" s="260">
        <v>3752</v>
      </c>
      <c r="E98" s="260">
        <f t="shared" si="12"/>
        <v>360</v>
      </c>
      <c r="F98" s="259">
        <f t="shared" si="13"/>
        <v>0.10613207547169812</v>
      </c>
    </row>
    <row r="99" spans="1:6" ht="20.25" customHeight="1" x14ac:dyDescent="0.3">
      <c r="A99" s="256">
        <v>8</v>
      </c>
      <c r="B99" s="257" t="s">
        <v>446</v>
      </c>
      <c r="C99" s="260">
        <v>327</v>
      </c>
      <c r="D99" s="260">
        <v>383</v>
      </c>
      <c r="E99" s="260">
        <f t="shared" si="12"/>
        <v>56</v>
      </c>
      <c r="F99" s="259">
        <f t="shared" si="13"/>
        <v>0.17125382262996941</v>
      </c>
    </row>
    <row r="100" spans="1:6" ht="20.25" customHeight="1" x14ac:dyDescent="0.3">
      <c r="A100" s="256">
        <v>9</v>
      </c>
      <c r="B100" s="257" t="s">
        <v>447</v>
      </c>
      <c r="C100" s="260">
        <v>187</v>
      </c>
      <c r="D100" s="260">
        <v>171</v>
      </c>
      <c r="E100" s="260">
        <f t="shared" si="12"/>
        <v>-16</v>
      </c>
      <c r="F100" s="259">
        <f t="shared" si="13"/>
        <v>-8.5561497326203204E-2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11585482</v>
      </c>
      <c r="D101" s="263">
        <f>+D92+D94</f>
        <v>12426597</v>
      </c>
      <c r="E101" s="263">
        <f t="shared" si="12"/>
        <v>841115</v>
      </c>
      <c r="F101" s="264">
        <f t="shared" si="13"/>
        <v>7.2600777421258783E-2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3741337</v>
      </c>
      <c r="D102" s="263">
        <f>+D93+D95</f>
        <v>3756045</v>
      </c>
      <c r="E102" s="263">
        <f t="shared" si="12"/>
        <v>14708</v>
      </c>
      <c r="F102" s="264">
        <f t="shared" si="13"/>
        <v>3.9312149640623123E-3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42439</v>
      </c>
      <c r="D118" s="258">
        <v>798534</v>
      </c>
      <c r="E118" s="258">
        <f t="shared" ref="E118:E128" si="16">D118-C118</f>
        <v>756095</v>
      </c>
      <c r="F118" s="259">
        <f t="shared" ref="F118:F128" si="17">IF(C118=0,0,E118/C118)</f>
        <v>17.816041848299914</v>
      </c>
    </row>
    <row r="119" spans="1:6" ht="20.25" customHeight="1" x14ac:dyDescent="0.3">
      <c r="A119" s="256">
        <v>2</v>
      </c>
      <c r="B119" s="257" t="s">
        <v>442</v>
      </c>
      <c r="C119" s="258">
        <v>20565</v>
      </c>
      <c r="D119" s="258">
        <v>361245</v>
      </c>
      <c r="E119" s="258">
        <f t="shared" si="16"/>
        <v>340680</v>
      </c>
      <c r="F119" s="259">
        <f t="shared" si="17"/>
        <v>16.566010211524436</v>
      </c>
    </row>
    <row r="120" spans="1:6" ht="20.25" customHeight="1" x14ac:dyDescent="0.3">
      <c r="A120" s="256">
        <v>3</v>
      </c>
      <c r="B120" s="257" t="s">
        <v>443</v>
      </c>
      <c r="C120" s="258">
        <v>81000</v>
      </c>
      <c r="D120" s="258">
        <v>876131</v>
      </c>
      <c r="E120" s="258">
        <f t="shared" si="16"/>
        <v>795131</v>
      </c>
      <c r="F120" s="259">
        <f t="shared" si="17"/>
        <v>9.8164320987654321</v>
      </c>
    </row>
    <row r="121" spans="1:6" ht="20.25" customHeight="1" x14ac:dyDescent="0.3">
      <c r="A121" s="256">
        <v>4</v>
      </c>
      <c r="B121" s="257" t="s">
        <v>444</v>
      </c>
      <c r="C121" s="258">
        <v>16799</v>
      </c>
      <c r="D121" s="258">
        <v>203619</v>
      </c>
      <c r="E121" s="258">
        <f t="shared" si="16"/>
        <v>186820</v>
      </c>
      <c r="F121" s="259">
        <f t="shared" si="17"/>
        <v>11.120900053574617</v>
      </c>
    </row>
    <row r="122" spans="1:6" ht="20.25" customHeight="1" x14ac:dyDescent="0.3">
      <c r="A122" s="256">
        <v>5</v>
      </c>
      <c r="B122" s="257" t="s">
        <v>381</v>
      </c>
      <c r="C122" s="260">
        <v>2</v>
      </c>
      <c r="D122" s="260">
        <v>34</v>
      </c>
      <c r="E122" s="260">
        <f t="shared" si="16"/>
        <v>32</v>
      </c>
      <c r="F122" s="259">
        <f t="shared" si="17"/>
        <v>16</v>
      </c>
    </row>
    <row r="123" spans="1:6" ht="20.25" customHeight="1" x14ac:dyDescent="0.3">
      <c r="A123" s="256">
        <v>6</v>
      </c>
      <c r="B123" s="257" t="s">
        <v>380</v>
      </c>
      <c r="C123" s="260">
        <v>5</v>
      </c>
      <c r="D123" s="260">
        <v>142</v>
      </c>
      <c r="E123" s="260">
        <f t="shared" si="16"/>
        <v>137</v>
      </c>
      <c r="F123" s="259">
        <f t="shared" si="17"/>
        <v>27.4</v>
      </c>
    </row>
    <row r="124" spans="1:6" ht="20.25" customHeight="1" x14ac:dyDescent="0.3">
      <c r="A124" s="256">
        <v>7</v>
      </c>
      <c r="B124" s="257" t="s">
        <v>445</v>
      </c>
      <c r="C124" s="260">
        <v>122</v>
      </c>
      <c r="D124" s="260">
        <v>556</v>
      </c>
      <c r="E124" s="260">
        <f t="shared" si="16"/>
        <v>434</v>
      </c>
      <c r="F124" s="259">
        <f t="shared" si="17"/>
        <v>3.557377049180328</v>
      </c>
    </row>
    <row r="125" spans="1:6" ht="20.25" customHeight="1" x14ac:dyDescent="0.3">
      <c r="A125" s="256">
        <v>8</v>
      </c>
      <c r="B125" s="257" t="s">
        <v>446</v>
      </c>
      <c r="C125" s="260">
        <v>6</v>
      </c>
      <c r="D125" s="260">
        <v>45</v>
      </c>
      <c r="E125" s="260">
        <f t="shared" si="16"/>
        <v>39</v>
      </c>
      <c r="F125" s="259">
        <f t="shared" si="17"/>
        <v>6.5</v>
      </c>
    </row>
    <row r="126" spans="1:6" ht="20.25" customHeight="1" x14ac:dyDescent="0.3">
      <c r="A126" s="256">
        <v>9</v>
      </c>
      <c r="B126" s="257" t="s">
        <v>447</v>
      </c>
      <c r="C126" s="260">
        <v>1</v>
      </c>
      <c r="D126" s="260">
        <v>28</v>
      </c>
      <c r="E126" s="260">
        <f t="shared" si="16"/>
        <v>27</v>
      </c>
      <c r="F126" s="259">
        <f t="shared" si="17"/>
        <v>27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123439</v>
      </c>
      <c r="D127" s="263">
        <f>+D118+D120</f>
        <v>1674665</v>
      </c>
      <c r="E127" s="263">
        <f t="shared" si="16"/>
        <v>1551226</v>
      </c>
      <c r="F127" s="264">
        <f t="shared" si="17"/>
        <v>12.566741467445459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37364</v>
      </c>
      <c r="D128" s="263">
        <f>+D119+D121</f>
        <v>564864</v>
      </c>
      <c r="E128" s="263">
        <f t="shared" si="16"/>
        <v>527500</v>
      </c>
      <c r="F128" s="264">
        <f t="shared" si="17"/>
        <v>14.117867466010063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13296</v>
      </c>
      <c r="D183" s="258">
        <v>0</v>
      </c>
      <c r="E183" s="258">
        <f t="shared" ref="E183:E193" si="26">D183-C183</f>
        <v>-13296</v>
      </c>
      <c r="F183" s="259">
        <f t="shared" ref="F183:F193" si="27">IF(C183=0,0,E183/C183)</f>
        <v>-1</v>
      </c>
    </row>
    <row r="184" spans="1:6" ht="20.25" customHeight="1" x14ac:dyDescent="0.3">
      <c r="A184" s="256">
        <v>2</v>
      </c>
      <c r="B184" s="257" t="s">
        <v>442</v>
      </c>
      <c r="C184" s="258">
        <v>5310</v>
      </c>
      <c r="D184" s="258">
        <v>0</v>
      </c>
      <c r="E184" s="258">
        <f t="shared" si="26"/>
        <v>-5310</v>
      </c>
      <c r="F184" s="259">
        <f t="shared" si="27"/>
        <v>-1</v>
      </c>
    </row>
    <row r="185" spans="1:6" ht="20.25" customHeight="1" x14ac:dyDescent="0.3">
      <c r="A185" s="256">
        <v>3</v>
      </c>
      <c r="B185" s="257" t="s">
        <v>443</v>
      </c>
      <c r="C185" s="258">
        <v>6654</v>
      </c>
      <c r="D185" s="258">
        <v>593</v>
      </c>
      <c r="E185" s="258">
        <f t="shared" si="26"/>
        <v>-6061</v>
      </c>
      <c r="F185" s="259">
        <f t="shared" si="27"/>
        <v>-0.9108806732792305</v>
      </c>
    </row>
    <row r="186" spans="1:6" ht="20.25" customHeight="1" x14ac:dyDescent="0.3">
      <c r="A186" s="256">
        <v>4</v>
      </c>
      <c r="B186" s="257" t="s">
        <v>444</v>
      </c>
      <c r="C186" s="258">
        <v>1854</v>
      </c>
      <c r="D186" s="258">
        <v>218</v>
      </c>
      <c r="E186" s="258">
        <f t="shared" si="26"/>
        <v>-1636</v>
      </c>
      <c r="F186" s="259">
        <f t="shared" si="27"/>
        <v>-0.8824163969795038</v>
      </c>
    </row>
    <row r="187" spans="1:6" ht="20.25" customHeight="1" x14ac:dyDescent="0.3">
      <c r="A187" s="256">
        <v>5</v>
      </c>
      <c r="B187" s="257" t="s">
        <v>381</v>
      </c>
      <c r="C187" s="260">
        <v>1</v>
      </c>
      <c r="D187" s="260">
        <v>0</v>
      </c>
      <c r="E187" s="260">
        <f t="shared" si="26"/>
        <v>-1</v>
      </c>
      <c r="F187" s="259">
        <f t="shared" si="27"/>
        <v>-1</v>
      </c>
    </row>
    <row r="188" spans="1:6" ht="20.25" customHeight="1" x14ac:dyDescent="0.3">
      <c r="A188" s="256">
        <v>6</v>
      </c>
      <c r="B188" s="257" t="s">
        <v>380</v>
      </c>
      <c r="C188" s="260">
        <v>5</v>
      </c>
      <c r="D188" s="260">
        <v>0</v>
      </c>
      <c r="E188" s="260">
        <f t="shared" si="26"/>
        <v>-5</v>
      </c>
      <c r="F188" s="259">
        <f t="shared" si="27"/>
        <v>-1</v>
      </c>
    </row>
    <row r="189" spans="1:6" ht="20.25" customHeight="1" x14ac:dyDescent="0.3">
      <c r="A189" s="256">
        <v>7</v>
      </c>
      <c r="B189" s="257" t="s">
        <v>445</v>
      </c>
      <c r="C189" s="260">
        <v>7</v>
      </c>
      <c r="D189" s="260">
        <v>0</v>
      </c>
      <c r="E189" s="260">
        <f t="shared" si="26"/>
        <v>-7</v>
      </c>
      <c r="F189" s="259">
        <f t="shared" si="27"/>
        <v>-1</v>
      </c>
    </row>
    <row r="190" spans="1:6" ht="20.25" customHeight="1" x14ac:dyDescent="0.3">
      <c r="A190" s="256">
        <v>8</v>
      </c>
      <c r="B190" s="257" t="s">
        <v>446</v>
      </c>
      <c r="C190" s="260">
        <v>2</v>
      </c>
      <c r="D190" s="260">
        <v>1</v>
      </c>
      <c r="E190" s="260">
        <f t="shared" si="26"/>
        <v>-1</v>
      </c>
      <c r="F190" s="259">
        <f t="shared" si="27"/>
        <v>-0.5</v>
      </c>
    </row>
    <row r="191" spans="1:6" ht="20.25" customHeight="1" x14ac:dyDescent="0.3">
      <c r="A191" s="256">
        <v>9</v>
      </c>
      <c r="B191" s="257" t="s">
        <v>447</v>
      </c>
      <c r="C191" s="260">
        <v>1</v>
      </c>
      <c r="D191" s="260">
        <v>0</v>
      </c>
      <c r="E191" s="260">
        <f t="shared" si="26"/>
        <v>-1</v>
      </c>
      <c r="F191" s="259">
        <f t="shared" si="27"/>
        <v>-1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19950</v>
      </c>
      <c r="D192" s="263">
        <f>+D183+D185</f>
        <v>593</v>
      </c>
      <c r="E192" s="263">
        <f t="shared" si="26"/>
        <v>-19357</v>
      </c>
      <c r="F192" s="264">
        <f t="shared" si="27"/>
        <v>-0.97027568922305762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7164</v>
      </c>
      <c r="D193" s="263">
        <f>+D184+D186</f>
        <v>218</v>
      </c>
      <c r="E193" s="263">
        <f t="shared" si="26"/>
        <v>-6946</v>
      </c>
      <c r="F193" s="264">
        <f t="shared" si="27"/>
        <v>-0.96957007258514794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16276648</v>
      </c>
      <c r="D198" s="263">
        <f t="shared" si="28"/>
        <v>17328556</v>
      </c>
      <c r="E198" s="263">
        <f t="shared" ref="E198:E208" si="29">D198-C198</f>
        <v>1051908</v>
      </c>
      <c r="F198" s="273">
        <f t="shared" ref="F198:F208" si="30">IF(C198=0,0,E198/C198)</f>
        <v>6.4626819969320459E-2</v>
      </c>
    </row>
    <row r="199" spans="1:9" ht="20.25" customHeight="1" x14ac:dyDescent="0.3">
      <c r="A199" s="271"/>
      <c r="B199" s="272" t="s">
        <v>466</v>
      </c>
      <c r="C199" s="263">
        <f t="shared" si="28"/>
        <v>6684346</v>
      </c>
      <c r="D199" s="263">
        <f t="shared" si="28"/>
        <v>7368069</v>
      </c>
      <c r="E199" s="263">
        <f t="shared" si="29"/>
        <v>683723</v>
      </c>
      <c r="F199" s="273">
        <f t="shared" si="30"/>
        <v>0.1022871945886703</v>
      </c>
    </row>
    <row r="200" spans="1:9" ht="20.25" customHeight="1" x14ac:dyDescent="0.3">
      <c r="A200" s="271"/>
      <c r="B200" s="272" t="s">
        <v>467</v>
      </c>
      <c r="C200" s="263">
        <f t="shared" si="28"/>
        <v>18976421</v>
      </c>
      <c r="D200" s="263">
        <f t="shared" si="28"/>
        <v>24197235</v>
      </c>
      <c r="E200" s="263">
        <f t="shared" si="29"/>
        <v>5220814</v>
      </c>
      <c r="F200" s="273">
        <f t="shared" si="30"/>
        <v>0.27512110950742502</v>
      </c>
    </row>
    <row r="201" spans="1:9" ht="20.25" customHeight="1" x14ac:dyDescent="0.3">
      <c r="A201" s="271"/>
      <c r="B201" s="272" t="s">
        <v>468</v>
      </c>
      <c r="C201" s="263">
        <f t="shared" si="28"/>
        <v>4556262</v>
      </c>
      <c r="D201" s="263">
        <f t="shared" si="28"/>
        <v>5437009</v>
      </c>
      <c r="E201" s="263">
        <f t="shared" si="29"/>
        <v>880747</v>
      </c>
      <c r="F201" s="273">
        <f t="shared" si="30"/>
        <v>0.19330473093952893</v>
      </c>
    </row>
    <row r="202" spans="1:9" ht="20.25" customHeight="1" x14ac:dyDescent="0.3">
      <c r="A202" s="271"/>
      <c r="B202" s="272" t="s">
        <v>138</v>
      </c>
      <c r="C202" s="274">
        <f t="shared" si="28"/>
        <v>721</v>
      </c>
      <c r="D202" s="274">
        <f t="shared" si="28"/>
        <v>708</v>
      </c>
      <c r="E202" s="274">
        <f t="shared" si="29"/>
        <v>-13</v>
      </c>
      <c r="F202" s="273">
        <f t="shared" si="30"/>
        <v>-1.8030513176144243E-2</v>
      </c>
    </row>
    <row r="203" spans="1:9" ht="20.25" customHeight="1" x14ac:dyDescent="0.3">
      <c r="A203" s="271"/>
      <c r="B203" s="272" t="s">
        <v>140</v>
      </c>
      <c r="C203" s="274">
        <f t="shared" si="28"/>
        <v>3279</v>
      </c>
      <c r="D203" s="274">
        <f t="shared" si="28"/>
        <v>3362</v>
      </c>
      <c r="E203" s="274">
        <f t="shared" si="29"/>
        <v>83</v>
      </c>
      <c r="F203" s="273">
        <f t="shared" si="30"/>
        <v>2.5312595303446171E-2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12540</v>
      </c>
      <c r="D204" s="274">
        <f t="shared" si="28"/>
        <v>15071</v>
      </c>
      <c r="E204" s="274">
        <f t="shared" si="29"/>
        <v>2531</v>
      </c>
      <c r="F204" s="273">
        <f t="shared" si="30"/>
        <v>0.2018341307814992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1018</v>
      </c>
      <c r="D205" s="274">
        <f t="shared" si="28"/>
        <v>1137</v>
      </c>
      <c r="E205" s="274">
        <f t="shared" si="29"/>
        <v>119</v>
      </c>
      <c r="F205" s="273">
        <f t="shared" si="30"/>
        <v>0.1168958742632613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556</v>
      </c>
      <c r="D206" s="274">
        <f t="shared" si="28"/>
        <v>549</v>
      </c>
      <c r="E206" s="274">
        <f t="shared" si="29"/>
        <v>-7</v>
      </c>
      <c r="F206" s="273">
        <f t="shared" si="30"/>
        <v>-1.2589928057553957E-2</v>
      </c>
    </row>
    <row r="207" spans="1:9" ht="20.25" customHeight="1" x14ac:dyDescent="0.3">
      <c r="A207" s="271"/>
      <c r="B207" s="262" t="s">
        <v>471</v>
      </c>
      <c r="C207" s="263">
        <f>+C198+C200</f>
        <v>35253069</v>
      </c>
      <c r="D207" s="263">
        <f>+D198+D200</f>
        <v>41525791</v>
      </c>
      <c r="E207" s="263">
        <f t="shared" si="29"/>
        <v>6272722</v>
      </c>
      <c r="F207" s="273">
        <f t="shared" si="30"/>
        <v>0.17793406866222058</v>
      </c>
    </row>
    <row r="208" spans="1:9" ht="20.25" customHeight="1" x14ac:dyDescent="0.3">
      <c r="A208" s="271"/>
      <c r="B208" s="262" t="s">
        <v>472</v>
      </c>
      <c r="C208" s="263">
        <f>+C199+C201</f>
        <v>11240608</v>
      </c>
      <c r="D208" s="263">
        <f>+D199+D201</f>
        <v>12805078</v>
      </c>
      <c r="E208" s="263">
        <f t="shared" si="29"/>
        <v>1564470</v>
      </c>
      <c r="F208" s="273">
        <f t="shared" si="30"/>
        <v>0.13918019381158031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2072872</v>
      </c>
      <c r="D26" s="258">
        <v>0</v>
      </c>
      <c r="E26" s="258">
        <f t="shared" ref="E26:E36" si="2">D26-C26</f>
        <v>-2072872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506740</v>
      </c>
      <c r="D27" s="258">
        <v>0</v>
      </c>
      <c r="E27" s="258">
        <f t="shared" si="2"/>
        <v>-506740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5609912</v>
      </c>
      <c r="D28" s="258">
        <v>0</v>
      </c>
      <c r="E28" s="258">
        <f t="shared" si="2"/>
        <v>-5609912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1592945</v>
      </c>
      <c r="D29" s="258">
        <v>0</v>
      </c>
      <c r="E29" s="258">
        <f t="shared" si="2"/>
        <v>-1592945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158</v>
      </c>
      <c r="D30" s="260">
        <v>0</v>
      </c>
      <c r="E30" s="260">
        <f t="shared" si="2"/>
        <v>-158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416</v>
      </c>
      <c r="D31" s="260">
        <v>0</v>
      </c>
      <c r="E31" s="260">
        <f t="shared" si="2"/>
        <v>-416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2784</v>
      </c>
      <c r="D32" s="260">
        <v>0</v>
      </c>
      <c r="E32" s="260">
        <f t="shared" si="2"/>
        <v>-2784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2094</v>
      </c>
      <c r="D33" s="260">
        <v>0</v>
      </c>
      <c r="E33" s="260">
        <f t="shared" si="2"/>
        <v>-2094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53</v>
      </c>
      <c r="D34" s="260">
        <v>0</v>
      </c>
      <c r="E34" s="260">
        <f t="shared" si="2"/>
        <v>-53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7682784</v>
      </c>
      <c r="D35" s="263">
        <f>+D26+D28</f>
        <v>0</v>
      </c>
      <c r="E35" s="263">
        <f t="shared" si="2"/>
        <v>-7682784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2099685</v>
      </c>
      <c r="D36" s="263">
        <f>+D27+D29</f>
        <v>0</v>
      </c>
      <c r="E36" s="263">
        <f t="shared" si="2"/>
        <v>-2099685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937167</v>
      </c>
      <c r="D50" s="258">
        <v>0</v>
      </c>
      <c r="E50" s="258">
        <f t="shared" ref="E50:E60" si="6">D50-C50</f>
        <v>-937167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312303</v>
      </c>
      <c r="D51" s="258">
        <v>0</v>
      </c>
      <c r="E51" s="258">
        <f t="shared" si="6"/>
        <v>-312303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1393172</v>
      </c>
      <c r="D52" s="258">
        <v>0</v>
      </c>
      <c r="E52" s="258">
        <f t="shared" si="6"/>
        <v>-1393172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351060</v>
      </c>
      <c r="D53" s="258">
        <v>0</v>
      </c>
      <c r="E53" s="258">
        <f t="shared" si="6"/>
        <v>-351060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61</v>
      </c>
      <c r="D54" s="260">
        <v>0</v>
      </c>
      <c r="E54" s="260">
        <f t="shared" si="6"/>
        <v>-61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301</v>
      </c>
      <c r="D55" s="260">
        <v>0</v>
      </c>
      <c r="E55" s="260">
        <f t="shared" si="6"/>
        <v>-301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646</v>
      </c>
      <c r="D56" s="260">
        <v>0</v>
      </c>
      <c r="E56" s="260">
        <f t="shared" si="6"/>
        <v>-646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448</v>
      </c>
      <c r="D57" s="260">
        <v>0</v>
      </c>
      <c r="E57" s="260">
        <f t="shared" si="6"/>
        <v>-448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36</v>
      </c>
      <c r="D58" s="260">
        <v>0</v>
      </c>
      <c r="E58" s="260">
        <f t="shared" si="6"/>
        <v>-36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2330339</v>
      </c>
      <c r="D59" s="263">
        <f>+D50+D52</f>
        <v>0</v>
      </c>
      <c r="E59" s="263">
        <f t="shared" si="6"/>
        <v>-2330339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663363</v>
      </c>
      <c r="D60" s="263">
        <f>+D51+D53</f>
        <v>0</v>
      </c>
      <c r="E60" s="263">
        <f t="shared" si="6"/>
        <v>-663363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150060</v>
      </c>
      <c r="D98" s="258">
        <v>0</v>
      </c>
      <c r="E98" s="258">
        <f t="shared" ref="E98:E108" si="14">D98-C98</f>
        <v>-150060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41934</v>
      </c>
      <c r="D99" s="258">
        <v>0</v>
      </c>
      <c r="E99" s="258">
        <f t="shared" si="14"/>
        <v>-41934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859818</v>
      </c>
      <c r="D100" s="258">
        <v>0</v>
      </c>
      <c r="E100" s="258">
        <f t="shared" si="14"/>
        <v>-859818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213861</v>
      </c>
      <c r="D101" s="258">
        <v>0</v>
      </c>
      <c r="E101" s="258">
        <f t="shared" si="14"/>
        <v>-213861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12</v>
      </c>
      <c r="D102" s="260">
        <v>0</v>
      </c>
      <c r="E102" s="260">
        <f t="shared" si="14"/>
        <v>-12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31</v>
      </c>
      <c r="D103" s="260">
        <v>0</v>
      </c>
      <c r="E103" s="260">
        <f t="shared" si="14"/>
        <v>-31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350</v>
      </c>
      <c r="D104" s="260">
        <v>0</v>
      </c>
      <c r="E104" s="260">
        <f t="shared" si="14"/>
        <v>-350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397</v>
      </c>
      <c r="D105" s="260">
        <v>0</v>
      </c>
      <c r="E105" s="260">
        <f t="shared" si="14"/>
        <v>-397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12</v>
      </c>
      <c r="D106" s="260">
        <v>0</v>
      </c>
      <c r="E106" s="260">
        <f t="shared" si="14"/>
        <v>-12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1009878</v>
      </c>
      <c r="D107" s="263">
        <f>+D98+D100</f>
        <v>0</v>
      </c>
      <c r="E107" s="263">
        <f t="shared" si="14"/>
        <v>-1009878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255795</v>
      </c>
      <c r="D108" s="263">
        <f>+D99+D101</f>
        <v>0</v>
      </c>
      <c r="E108" s="263">
        <f t="shared" si="14"/>
        <v>-255795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3160099</v>
      </c>
      <c r="D112" s="263">
        <f t="shared" si="16"/>
        <v>0</v>
      </c>
      <c r="E112" s="263">
        <f t="shared" ref="E112:E122" si="17">D112-C112</f>
        <v>-3160099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860977</v>
      </c>
      <c r="D113" s="263">
        <f t="shared" si="16"/>
        <v>0</v>
      </c>
      <c r="E113" s="263">
        <f t="shared" si="17"/>
        <v>-860977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7862902</v>
      </c>
      <c r="D114" s="263">
        <f t="shared" si="16"/>
        <v>0</v>
      </c>
      <c r="E114" s="263">
        <f t="shared" si="17"/>
        <v>-7862902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2157866</v>
      </c>
      <c r="D115" s="263">
        <f t="shared" si="16"/>
        <v>0</v>
      </c>
      <c r="E115" s="263">
        <f t="shared" si="17"/>
        <v>-2157866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231</v>
      </c>
      <c r="D116" s="287">
        <f t="shared" si="16"/>
        <v>0</v>
      </c>
      <c r="E116" s="287">
        <f t="shared" si="17"/>
        <v>-231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748</v>
      </c>
      <c r="D117" s="287">
        <f t="shared" si="16"/>
        <v>0</v>
      </c>
      <c r="E117" s="287">
        <f t="shared" si="17"/>
        <v>-748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3780</v>
      </c>
      <c r="D118" s="287">
        <f t="shared" si="16"/>
        <v>0</v>
      </c>
      <c r="E118" s="287">
        <f t="shared" si="17"/>
        <v>-3780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2939</v>
      </c>
      <c r="D119" s="287">
        <f t="shared" si="16"/>
        <v>0</v>
      </c>
      <c r="E119" s="287">
        <f t="shared" si="17"/>
        <v>-2939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101</v>
      </c>
      <c r="D120" s="287">
        <f t="shared" si="16"/>
        <v>0</v>
      </c>
      <c r="E120" s="287">
        <f t="shared" si="17"/>
        <v>-101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11023001</v>
      </c>
      <c r="D121" s="263">
        <f>+D112+D114</f>
        <v>0</v>
      </c>
      <c r="E121" s="263">
        <f t="shared" si="17"/>
        <v>-11023001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3018843</v>
      </c>
      <c r="D122" s="263">
        <f>+D113+D115</f>
        <v>0</v>
      </c>
      <c r="E122" s="263">
        <f t="shared" si="17"/>
        <v>-3018843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108322462</v>
      </c>
      <c r="D13" s="22">
        <v>134555183</v>
      </c>
      <c r="E13" s="22">
        <f t="shared" ref="E13:E22" si="0">D13-C13</f>
        <v>26232721</v>
      </c>
      <c r="F13" s="306">
        <f t="shared" ref="F13:F22" si="1">IF(C13=0,0,E13/C13)</f>
        <v>0.24217249604241825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33684894</v>
      </c>
      <c r="D15" s="22">
        <v>32394182</v>
      </c>
      <c r="E15" s="22">
        <f t="shared" si="0"/>
        <v>-1290712</v>
      </c>
      <c r="F15" s="306">
        <f t="shared" si="1"/>
        <v>-3.8317235019353184E-2</v>
      </c>
    </row>
    <row r="16" spans="1:8" ht="35.1" customHeight="1" x14ac:dyDescent="0.2">
      <c r="A16" s="304">
        <v>4</v>
      </c>
      <c r="B16" s="305" t="s">
        <v>19</v>
      </c>
      <c r="C16" s="22">
        <v>7433046</v>
      </c>
      <c r="D16" s="22">
        <v>6509778</v>
      </c>
      <c r="E16" s="22">
        <f t="shared" si="0"/>
        <v>-923268</v>
      </c>
      <c r="F16" s="306">
        <f t="shared" si="1"/>
        <v>-0.12421125874910501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3548865</v>
      </c>
      <c r="D19" s="22">
        <v>3715171</v>
      </c>
      <c r="E19" s="22">
        <f t="shared" si="0"/>
        <v>166306</v>
      </c>
      <c r="F19" s="306">
        <f t="shared" si="1"/>
        <v>4.6861743120687881E-2</v>
      </c>
    </row>
    <row r="20" spans="1:11" ht="24" customHeight="1" x14ac:dyDescent="0.2">
      <c r="A20" s="304">
        <v>8</v>
      </c>
      <c r="B20" s="305" t="s">
        <v>23</v>
      </c>
      <c r="C20" s="22">
        <v>3370245</v>
      </c>
      <c r="D20" s="22">
        <v>3036954</v>
      </c>
      <c r="E20" s="22">
        <f t="shared" si="0"/>
        <v>-333291</v>
      </c>
      <c r="F20" s="306">
        <f t="shared" si="1"/>
        <v>-9.8892217034666621E-2</v>
      </c>
    </row>
    <row r="21" spans="1:11" ht="24" customHeight="1" x14ac:dyDescent="0.2">
      <c r="A21" s="304">
        <v>9</v>
      </c>
      <c r="B21" s="305" t="s">
        <v>24</v>
      </c>
      <c r="C21" s="22">
        <v>31723</v>
      </c>
      <c r="D21" s="22">
        <v>29416</v>
      </c>
      <c r="E21" s="22">
        <f t="shared" si="0"/>
        <v>-2307</v>
      </c>
      <c r="F21" s="306">
        <f t="shared" si="1"/>
        <v>-7.2723260725656463E-2</v>
      </c>
    </row>
    <row r="22" spans="1:11" ht="24" customHeight="1" x14ac:dyDescent="0.25">
      <c r="A22" s="307"/>
      <c r="B22" s="308" t="s">
        <v>25</v>
      </c>
      <c r="C22" s="309">
        <f>SUM(C13:C21)</f>
        <v>156391235</v>
      </c>
      <c r="D22" s="309">
        <f>SUM(D13:D21)</f>
        <v>180240684</v>
      </c>
      <c r="E22" s="309">
        <f t="shared" si="0"/>
        <v>23849449</v>
      </c>
      <c r="F22" s="310">
        <f t="shared" si="1"/>
        <v>0.15249862947881956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30175064</v>
      </c>
      <c r="D25" s="22">
        <v>31846910</v>
      </c>
      <c r="E25" s="22">
        <f>D25-C25</f>
        <v>1671846</v>
      </c>
      <c r="F25" s="306">
        <f>IF(C25=0,0,E25/C25)</f>
        <v>5.5404886630894969E-2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109435719</v>
      </c>
      <c r="D26" s="22">
        <v>120134546</v>
      </c>
      <c r="E26" s="22">
        <f>D26-C26</f>
        <v>10698827</v>
      </c>
      <c r="F26" s="306">
        <f>IF(C26=0,0,E26/C26)</f>
        <v>9.776357388395282E-2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139610783</v>
      </c>
      <c r="D29" s="309">
        <f>SUM(D25:D28)</f>
        <v>151981456</v>
      </c>
      <c r="E29" s="309">
        <f>D29-C29</f>
        <v>12370673</v>
      </c>
      <c r="F29" s="310">
        <f>IF(C29=0,0,E29/C29)</f>
        <v>8.8608291810812354E-2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8251731</v>
      </c>
      <c r="D33" s="22">
        <v>9918838</v>
      </c>
      <c r="E33" s="22">
        <f>D33-C33</f>
        <v>1667107</v>
      </c>
      <c r="F33" s="306">
        <f>IF(C33=0,0,E33/C33)</f>
        <v>0.20203118594147096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239543110</v>
      </c>
      <c r="D36" s="22">
        <v>300499498</v>
      </c>
      <c r="E36" s="22">
        <f>D36-C36</f>
        <v>60956388</v>
      </c>
      <c r="F36" s="306">
        <f>IF(C36=0,0,E36/C36)</f>
        <v>0.25446938548973502</v>
      </c>
    </row>
    <row r="37" spans="1:8" ht="24" customHeight="1" x14ac:dyDescent="0.2">
      <c r="A37" s="304">
        <v>2</v>
      </c>
      <c r="B37" s="305" t="s">
        <v>39</v>
      </c>
      <c r="C37" s="22">
        <v>149323044</v>
      </c>
      <c r="D37" s="22">
        <v>161329064</v>
      </c>
      <c r="E37" s="22">
        <f>D37-C37</f>
        <v>12006020</v>
      </c>
      <c r="F37" s="22">
        <f>IF(C37=0,0,E37/C37)</f>
        <v>8.0402995267093533E-2</v>
      </c>
    </row>
    <row r="38" spans="1:8" ht="24" customHeight="1" x14ac:dyDescent="0.25">
      <c r="A38" s="307"/>
      <c r="B38" s="308" t="s">
        <v>40</v>
      </c>
      <c r="C38" s="309">
        <f>C36-C37</f>
        <v>90220066</v>
      </c>
      <c r="D38" s="309">
        <f>D36-D37</f>
        <v>139170434</v>
      </c>
      <c r="E38" s="309">
        <f>D38-C38</f>
        <v>48950368</v>
      </c>
      <c r="F38" s="310">
        <f>IF(C38=0,0,E38/C38)</f>
        <v>0.54256630670165995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1747654</v>
      </c>
      <c r="D40" s="22">
        <v>77152</v>
      </c>
      <c r="E40" s="22">
        <f>D40-C40</f>
        <v>-1670502</v>
      </c>
      <c r="F40" s="306">
        <f>IF(C40=0,0,E40/C40)</f>
        <v>-0.95585396193983474</v>
      </c>
    </row>
    <row r="41" spans="1:8" ht="24" customHeight="1" x14ac:dyDescent="0.25">
      <c r="A41" s="307"/>
      <c r="B41" s="308" t="s">
        <v>42</v>
      </c>
      <c r="C41" s="309">
        <f>+C38+C40</f>
        <v>91967720</v>
      </c>
      <c r="D41" s="309">
        <f>+D38+D40</f>
        <v>139247586</v>
      </c>
      <c r="E41" s="309">
        <f>D41-C41</f>
        <v>47279866</v>
      </c>
      <c r="F41" s="310">
        <f>IF(C41=0,0,E41/C41)</f>
        <v>0.51409196618117747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396221469</v>
      </c>
      <c r="D43" s="309">
        <f>D22+D29+D31+D32+D33+D41</f>
        <v>481388564</v>
      </c>
      <c r="E43" s="309">
        <f>D43-C43</f>
        <v>85167095</v>
      </c>
      <c r="F43" s="310">
        <f>IF(C43=0,0,E43/C43)</f>
        <v>0.21494820867467937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9833003</v>
      </c>
      <c r="D49" s="22">
        <v>8724922</v>
      </c>
      <c r="E49" s="22">
        <f t="shared" ref="E49:E56" si="2">D49-C49</f>
        <v>-1108081</v>
      </c>
      <c r="F49" s="306">
        <f t="shared" ref="F49:F56" si="3">IF(C49=0,0,E49/C49)</f>
        <v>-0.1126899890094613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7663502</v>
      </c>
      <c r="D50" s="22">
        <v>7952285</v>
      </c>
      <c r="E50" s="22">
        <f t="shared" si="2"/>
        <v>288783</v>
      </c>
      <c r="F50" s="306">
        <f t="shared" si="3"/>
        <v>3.7682902672955522E-2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1481120</v>
      </c>
      <c r="D51" s="22">
        <v>2074028</v>
      </c>
      <c r="E51" s="22">
        <f t="shared" si="2"/>
        <v>592908</v>
      </c>
      <c r="F51" s="306">
        <f t="shared" si="3"/>
        <v>0.40031057578049045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2045000</v>
      </c>
      <c r="D53" s="22">
        <v>2120000</v>
      </c>
      <c r="E53" s="22">
        <f t="shared" si="2"/>
        <v>75000</v>
      </c>
      <c r="F53" s="306">
        <f t="shared" si="3"/>
        <v>3.6674816625916873E-2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301210</v>
      </c>
      <c r="D54" s="22">
        <v>323472</v>
      </c>
      <c r="E54" s="22">
        <f t="shared" si="2"/>
        <v>22262</v>
      </c>
      <c r="F54" s="306">
        <f t="shared" si="3"/>
        <v>7.3908568772617117E-2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11689505</v>
      </c>
      <c r="D55" s="22">
        <v>10130690</v>
      </c>
      <c r="E55" s="22">
        <f t="shared" si="2"/>
        <v>-1558815</v>
      </c>
      <c r="F55" s="306">
        <f t="shared" si="3"/>
        <v>-0.13335166886878444</v>
      </c>
    </row>
    <row r="56" spans="1:6" ht="24" customHeight="1" x14ac:dyDescent="0.25">
      <c r="A56" s="307"/>
      <c r="B56" s="308" t="s">
        <v>54</v>
      </c>
      <c r="C56" s="309">
        <f>SUM(C49:C55)</f>
        <v>33013340</v>
      </c>
      <c r="D56" s="309">
        <f>SUM(D49:D55)</f>
        <v>31325397</v>
      </c>
      <c r="E56" s="309">
        <f t="shared" si="2"/>
        <v>-1687943</v>
      </c>
      <c r="F56" s="310">
        <f t="shared" si="3"/>
        <v>-5.1129119319644728E-2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57887276</v>
      </c>
      <c r="D59" s="22">
        <v>59885476</v>
      </c>
      <c r="E59" s="22">
        <f>D59-C59</f>
        <v>1998200</v>
      </c>
      <c r="F59" s="306">
        <f>IF(C59=0,0,E59/C59)</f>
        <v>3.4518812044291046E-2</v>
      </c>
    </row>
    <row r="60" spans="1:6" ht="24" customHeight="1" x14ac:dyDescent="0.2">
      <c r="A60" s="304">
        <v>2</v>
      </c>
      <c r="B60" s="305" t="s">
        <v>57</v>
      </c>
      <c r="C60" s="22">
        <v>7169714</v>
      </c>
      <c r="D60" s="22">
        <v>7308056</v>
      </c>
      <c r="E60" s="22">
        <f>D60-C60</f>
        <v>138342</v>
      </c>
      <c r="F60" s="306">
        <f>IF(C60=0,0,E60/C60)</f>
        <v>1.9295330329773267E-2</v>
      </c>
    </row>
    <row r="61" spans="1:6" ht="24" customHeight="1" x14ac:dyDescent="0.25">
      <c r="A61" s="307"/>
      <c r="B61" s="308" t="s">
        <v>58</v>
      </c>
      <c r="C61" s="309">
        <f>SUM(C59:C60)</f>
        <v>65056990</v>
      </c>
      <c r="D61" s="309">
        <f>SUM(D59:D60)</f>
        <v>67193532</v>
      </c>
      <c r="E61" s="309">
        <f>D61-C61</f>
        <v>2136542</v>
      </c>
      <c r="F61" s="310">
        <f>IF(C61=0,0,E61/C61)</f>
        <v>3.2841082872109517E-2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62941096</v>
      </c>
      <c r="D63" s="22">
        <v>18267625</v>
      </c>
      <c r="E63" s="22">
        <f>D63-C63</f>
        <v>-44673471</v>
      </c>
      <c r="F63" s="306">
        <f>IF(C63=0,0,E63/C63)</f>
        <v>-0.70976633454237914</v>
      </c>
    </row>
    <row r="64" spans="1:6" ht="24" customHeight="1" x14ac:dyDescent="0.2">
      <c r="A64" s="304">
        <v>4</v>
      </c>
      <c r="B64" s="305" t="s">
        <v>60</v>
      </c>
      <c r="C64" s="22">
        <v>37185741</v>
      </c>
      <c r="D64" s="22">
        <v>37296449</v>
      </c>
      <c r="E64" s="22">
        <f>D64-C64</f>
        <v>110708</v>
      </c>
      <c r="F64" s="306">
        <f>IF(C64=0,0,E64/C64)</f>
        <v>2.977162671035653E-3</v>
      </c>
    </row>
    <row r="65" spans="1:6" ht="24" customHeight="1" x14ac:dyDescent="0.25">
      <c r="A65" s="307"/>
      <c r="B65" s="308" t="s">
        <v>61</v>
      </c>
      <c r="C65" s="309">
        <f>SUM(C61:C64)</f>
        <v>165183827</v>
      </c>
      <c r="D65" s="309">
        <f>SUM(D61:D64)</f>
        <v>122757606</v>
      </c>
      <c r="E65" s="309">
        <f>D65-C65</f>
        <v>-42426221</v>
      </c>
      <c r="F65" s="310">
        <f>IF(C65=0,0,E65/C65)</f>
        <v>-0.256842463154701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187377643</v>
      </c>
      <c r="D70" s="22">
        <v>315932503</v>
      </c>
      <c r="E70" s="22">
        <f>D70-C70</f>
        <v>128554860</v>
      </c>
      <c r="F70" s="306">
        <f>IF(C70=0,0,E70/C70)</f>
        <v>0.6860736315271081</v>
      </c>
    </row>
    <row r="71" spans="1:6" ht="24" customHeight="1" x14ac:dyDescent="0.2">
      <c r="A71" s="304">
        <v>2</v>
      </c>
      <c r="B71" s="305" t="s">
        <v>65</v>
      </c>
      <c r="C71" s="22">
        <v>2890743</v>
      </c>
      <c r="D71" s="22">
        <v>3305592</v>
      </c>
      <c r="E71" s="22">
        <f>D71-C71</f>
        <v>414849</v>
      </c>
      <c r="F71" s="306">
        <f>IF(C71=0,0,E71/C71)</f>
        <v>0.14350947144038748</v>
      </c>
    </row>
    <row r="72" spans="1:6" ht="24" customHeight="1" x14ac:dyDescent="0.2">
      <c r="A72" s="304">
        <v>3</v>
      </c>
      <c r="B72" s="305" t="s">
        <v>66</v>
      </c>
      <c r="C72" s="22">
        <v>7755916</v>
      </c>
      <c r="D72" s="22">
        <v>8067466</v>
      </c>
      <c r="E72" s="22">
        <f>D72-C72</f>
        <v>311550</v>
      </c>
      <c r="F72" s="306">
        <f>IF(C72=0,0,E72/C72)</f>
        <v>4.0169336542582465E-2</v>
      </c>
    </row>
    <row r="73" spans="1:6" ht="24" customHeight="1" x14ac:dyDescent="0.25">
      <c r="A73" s="304"/>
      <c r="B73" s="308" t="s">
        <v>67</v>
      </c>
      <c r="C73" s="309">
        <f>SUM(C70:C72)</f>
        <v>198024302</v>
      </c>
      <c r="D73" s="309">
        <f>SUM(D70:D72)</f>
        <v>327305561</v>
      </c>
      <c r="E73" s="309">
        <f>D73-C73</f>
        <v>129281259</v>
      </c>
      <c r="F73" s="310">
        <f>IF(C73=0,0,E73/C73)</f>
        <v>0.65285552174298289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396221469</v>
      </c>
      <c r="D75" s="309">
        <f>D56+D65+D67+D73</f>
        <v>481388564</v>
      </c>
      <c r="E75" s="309">
        <f>D75-C75</f>
        <v>85167095</v>
      </c>
      <c r="F75" s="310">
        <f>IF(C75=0,0,E75/C75)</f>
        <v>0.21494820867467937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639940838</v>
      </c>
      <c r="D11" s="76">
        <v>676269899</v>
      </c>
      <c r="E11" s="76">
        <f t="shared" ref="E11:E20" si="0">D11-C11</f>
        <v>36329061</v>
      </c>
      <c r="F11" s="77">
        <f t="shared" ref="F11:F20" si="1">IF(C11=0,0,E11/C11)</f>
        <v>5.676940561183564E-2</v>
      </c>
    </row>
    <row r="12" spans="1:7" ht="23.1" customHeight="1" x14ac:dyDescent="0.2">
      <c r="A12" s="74">
        <v>2</v>
      </c>
      <c r="B12" s="75" t="s">
        <v>72</v>
      </c>
      <c r="C12" s="76">
        <v>336783841</v>
      </c>
      <c r="D12" s="76">
        <v>378041108</v>
      </c>
      <c r="E12" s="76">
        <f t="shared" si="0"/>
        <v>41257267</v>
      </c>
      <c r="F12" s="77">
        <f t="shared" si="1"/>
        <v>0.12250370112026841</v>
      </c>
    </row>
    <row r="13" spans="1:7" ht="23.1" customHeight="1" x14ac:dyDescent="0.2">
      <c r="A13" s="74">
        <v>3</v>
      </c>
      <c r="B13" s="75" t="s">
        <v>73</v>
      </c>
      <c r="C13" s="76">
        <v>5552920</v>
      </c>
      <c r="D13" s="76">
        <v>5791068</v>
      </c>
      <c r="E13" s="76">
        <f t="shared" si="0"/>
        <v>238148</v>
      </c>
      <c r="F13" s="77">
        <f t="shared" si="1"/>
        <v>4.2886985585961983E-2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297604077</v>
      </c>
      <c r="D15" s="79">
        <f>D11-D12-D13-D14</f>
        <v>292437723</v>
      </c>
      <c r="E15" s="79">
        <f t="shared" si="0"/>
        <v>-5166354</v>
      </c>
      <c r="F15" s="80">
        <f t="shared" si="1"/>
        <v>-1.7359822661300435E-2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8614637</v>
      </c>
      <c r="E16" s="76">
        <f t="shared" si="0"/>
        <v>8614637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297604077</v>
      </c>
      <c r="D17" s="79">
        <f>D15-D16</f>
        <v>283823086</v>
      </c>
      <c r="E17" s="79">
        <f t="shared" si="0"/>
        <v>-13780991</v>
      </c>
      <c r="F17" s="80">
        <f t="shared" si="1"/>
        <v>-4.6306459034161689E-2</v>
      </c>
    </row>
    <row r="18" spans="1:7" ht="23.1" customHeight="1" x14ac:dyDescent="0.2">
      <c r="A18" s="74">
        <v>6</v>
      </c>
      <c r="B18" s="75" t="s">
        <v>78</v>
      </c>
      <c r="C18" s="76">
        <v>7282268</v>
      </c>
      <c r="D18" s="76">
        <v>6932861</v>
      </c>
      <c r="E18" s="76">
        <f t="shared" si="0"/>
        <v>-349407</v>
      </c>
      <c r="F18" s="77">
        <f t="shared" si="1"/>
        <v>-4.7980519255814258E-2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174552</v>
      </c>
      <c r="D19" s="76">
        <v>245584</v>
      </c>
      <c r="E19" s="76">
        <f t="shared" si="0"/>
        <v>71032</v>
      </c>
      <c r="F19" s="77">
        <f t="shared" si="1"/>
        <v>0.4069389064576745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305060897</v>
      </c>
      <c r="D20" s="79">
        <f>SUM(D17:D19)</f>
        <v>291001531</v>
      </c>
      <c r="E20" s="79">
        <f t="shared" si="0"/>
        <v>-14059366</v>
      </c>
      <c r="F20" s="80">
        <f t="shared" si="1"/>
        <v>-4.6087080115023722E-2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123500731</v>
      </c>
      <c r="D23" s="76">
        <v>126715950</v>
      </c>
      <c r="E23" s="76">
        <f t="shared" ref="E23:E32" si="2">D23-C23</f>
        <v>3215219</v>
      </c>
      <c r="F23" s="77">
        <f t="shared" ref="F23:F32" si="3">IF(C23=0,0,E23/C23)</f>
        <v>2.6034007847289584E-2</v>
      </c>
    </row>
    <row r="24" spans="1:7" ht="23.1" customHeight="1" x14ac:dyDescent="0.2">
      <c r="A24" s="74">
        <v>2</v>
      </c>
      <c r="B24" s="75" t="s">
        <v>83</v>
      </c>
      <c r="C24" s="76">
        <v>35029296</v>
      </c>
      <c r="D24" s="76">
        <v>29377898</v>
      </c>
      <c r="E24" s="76">
        <f t="shared" si="2"/>
        <v>-5651398</v>
      </c>
      <c r="F24" s="77">
        <f t="shared" si="3"/>
        <v>-0.16133347355881775</v>
      </c>
    </row>
    <row r="25" spans="1:7" ht="23.1" customHeight="1" x14ac:dyDescent="0.2">
      <c r="A25" s="74">
        <v>3</v>
      </c>
      <c r="B25" s="75" t="s">
        <v>84</v>
      </c>
      <c r="C25" s="76">
        <v>1773524</v>
      </c>
      <c r="D25" s="76">
        <v>1727329</v>
      </c>
      <c r="E25" s="76">
        <f t="shared" si="2"/>
        <v>-46195</v>
      </c>
      <c r="F25" s="77">
        <f t="shared" si="3"/>
        <v>-2.6047011486734883E-2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90840139</v>
      </c>
      <c r="D26" s="76">
        <v>86776234</v>
      </c>
      <c r="E26" s="76">
        <f t="shared" si="2"/>
        <v>-4063905</v>
      </c>
      <c r="F26" s="77">
        <f t="shared" si="3"/>
        <v>-4.4736886631140005E-2</v>
      </c>
    </row>
    <row r="27" spans="1:7" ht="23.1" customHeight="1" x14ac:dyDescent="0.2">
      <c r="A27" s="74">
        <v>5</v>
      </c>
      <c r="B27" s="75" t="s">
        <v>86</v>
      </c>
      <c r="C27" s="76">
        <v>18079091</v>
      </c>
      <c r="D27" s="76">
        <v>15619649</v>
      </c>
      <c r="E27" s="76">
        <f t="shared" si="2"/>
        <v>-2459442</v>
      </c>
      <c r="F27" s="77">
        <f t="shared" si="3"/>
        <v>-0.13603792358808306</v>
      </c>
    </row>
    <row r="28" spans="1:7" ht="23.1" customHeight="1" x14ac:dyDescent="0.2">
      <c r="A28" s="74">
        <v>6</v>
      </c>
      <c r="B28" s="75" t="s">
        <v>87</v>
      </c>
      <c r="C28" s="76">
        <v>8743002</v>
      </c>
      <c r="D28" s="76">
        <v>0</v>
      </c>
      <c r="E28" s="76">
        <f t="shared" si="2"/>
        <v>-8743002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3276169</v>
      </c>
      <c r="D29" s="76">
        <v>3375173</v>
      </c>
      <c r="E29" s="76">
        <f t="shared" si="2"/>
        <v>99004</v>
      </c>
      <c r="F29" s="77">
        <f t="shared" si="3"/>
        <v>3.0219442281518443E-2</v>
      </c>
    </row>
    <row r="30" spans="1:7" ht="23.1" customHeight="1" x14ac:dyDescent="0.2">
      <c r="A30" s="74">
        <v>8</v>
      </c>
      <c r="B30" s="75" t="s">
        <v>89</v>
      </c>
      <c r="C30" s="76">
        <v>192200</v>
      </c>
      <c r="D30" s="76">
        <v>4367489</v>
      </c>
      <c r="E30" s="76">
        <f t="shared" si="2"/>
        <v>4175289</v>
      </c>
      <c r="F30" s="77">
        <f t="shared" si="3"/>
        <v>21.723668054110302</v>
      </c>
    </row>
    <row r="31" spans="1:7" ht="23.1" customHeight="1" x14ac:dyDescent="0.2">
      <c r="A31" s="74">
        <v>9</v>
      </c>
      <c r="B31" s="75" t="s">
        <v>90</v>
      </c>
      <c r="C31" s="76">
        <v>0</v>
      </c>
      <c r="D31" s="76">
        <v>0</v>
      </c>
      <c r="E31" s="76">
        <f t="shared" si="2"/>
        <v>0</v>
      </c>
      <c r="F31" s="77">
        <f t="shared" si="3"/>
        <v>0</v>
      </c>
    </row>
    <row r="32" spans="1:7" ht="23.1" customHeight="1" x14ac:dyDescent="0.25">
      <c r="A32" s="71"/>
      <c r="B32" s="78" t="s">
        <v>91</v>
      </c>
      <c r="C32" s="79">
        <f>SUM(C23:C31)</f>
        <v>281434152</v>
      </c>
      <c r="D32" s="79">
        <f>SUM(D23:D31)</f>
        <v>267959722</v>
      </c>
      <c r="E32" s="79">
        <f t="shared" si="2"/>
        <v>-13474430</v>
      </c>
      <c r="F32" s="80">
        <f t="shared" si="3"/>
        <v>-4.7877735890418868E-2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23626745</v>
      </c>
      <c r="D34" s="79">
        <f>+D20-D32</f>
        <v>23041809</v>
      </c>
      <c r="E34" s="79">
        <f>D34-C34</f>
        <v>-584936</v>
      </c>
      <c r="F34" s="80">
        <f>IF(C34=0,0,E34/C34)</f>
        <v>-2.4757367127803683E-2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3898403</v>
      </c>
      <c r="D37" s="76">
        <v>6398267</v>
      </c>
      <c r="E37" s="76">
        <f>D37-C37</f>
        <v>2499864</v>
      </c>
      <c r="F37" s="77">
        <f>IF(C37=0,0,E37/C37)</f>
        <v>0.64125335425814112</v>
      </c>
    </row>
    <row r="38" spans="1:6" ht="23.1" customHeight="1" x14ac:dyDescent="0.2">
      <c r="A38" s="85">
        <v>2</v>
      </c>
      <c r="B38" s="75" t="s">
        <v>95</v>
      </c>
      <c r="C38" s="76">
        <v>147058</v>
      </c>
      <c r="D38" s="76">
        <v>137640</v>
      </c>
      <c r="E38" s="76">
        <f>D38-C38</f>
        <v>-9418</v>
      </c>
      <c r="F38" s="77">
        <f>IF(C38=0,0,E38/C38)</f>
        <v>-6.4042758639448374E-2</v>
      </c>
    </row>
    <row r="39" spans="1:6" ht="23.1" customHeight="1" x14ac:dyDescent="0.2">
      <c r="A39" s="85">
        <v>3</v>
      </c>
      <c r="B39" s="75" t="s">
        <v>96</v>
      </c>
      <c r="C39" s="76">
        <v>-9929</v>
      </c>
      <c r="D39" s="76">
        <v>-152861</v>
      </c>
      <c r="E39" s="76">
        <f>D39-C39</f>
        <v>-142932</v>
      </c>
      <c r="F39" s="77">
        <f>IF(C39=0,0,E39/C39)</f>
        <v>14.395407392486655</v>
      </c>
    </row>
    <row r="40" spans="1:6" ht="23.1" customHeight="1" x14ac:dyDescent="0.25">
      <c r="A40" s="83"/>
      <c r="B40" s="78" t="s">
        <v>97</v>
      </c>
      <c r="C40" s="79">
        <f>SUM(C37:C39)</f>
        <v>4035532</v>
      </c>
      <c r="D40" s="79">
        <f>SUM(D37:D39)</f>
        <v>6383046</v>
      </c>
      <c r="E40" s="79">
        <f>D40-C40</f>
        <v>2347514</v>
      </c>
      <c r="F40" s="80">
        <f>IF(C40=0,0,E40/C40)</f>
        <v>0.58171115976778276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27662277</v>
      </c>
      <c r="D42" s="79">
        <f>D34+D40</f>
        <v>29424855</v>
      </c>
      <c r="E42" s="79">
        <f>D42-C42</f>
        <v>1762578</v>
      </c>
      <c r="F42" s="80">
        <f>IF(C42=0,0,E42/C42)</f>
        <v>6.3717748181033693E-2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10067106</v>
      </c>
      <c r="D45" s="76">
        <v>5113161</v>
      </c>
      <c r="E45" s="76">
        <f>D45-C45</f>
        <v>-4953945</v>
      </c>
      <c r="F45" s="77">
        <f>IF(C45=0,0,E45/C45)</f>
        <v>-0.49209226564218156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10067106</v>
      </c>
      <c r="D47" s="79">
        <f>SUM(D45:D46)</f>
        <v>5113161</v>
      </c>
      <c r="E47" s="79">
        <f>D47-C47</f>
        <v>-4953945</v>
      </c>
      <c r="F47" s="80">
        <f>IF(C47=0,0,E47/C47)</f>
        <v>-0.49209226564218156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37729383</v>
      </c>
      <c r="D49" s="79">
        <f>D42+D47</f>
        <v>34538016</v>
      </c>
      <c r="E49" s="79">
        <f>D49-C49</f>
        <v>-3191367</v>
      </c>
      <c r="F49" s="80">
        <f>IF(C49=0,0,E49/C49)</f>
        <v>-8.458571930529582E-2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2014-10-09T15:15:57Z</cp:lastPrinted>
  <dcterms:created xsi:type="dcterms:W3CDTF">2014-10-06T19:14:56Z</dcterms:created>
  <dcterms:modified xsi:type="dcterms:W3CDTF">2014-10-09T16:39:03Z</dcterms:modified>
</cp:coreProperties>
</file>