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7" i="14"/>
  <c r="D226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207" i="14"/>
  <c r="D208" i="14"/>
  <c r="D135" i="14"/>
  <c r="D130" i="14"/>
  <c r="D129" i="14"/>
  <c r="D123" i="14"/>
  <c r="D124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8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1" i="14"/>
  <c r="D32" i="14"/>
  <c r="D175" i="14"/>
  <c r="D30" i="14"/>
  <c r="D29" i="14"/>
  <c r="D24" i="14"/>
  <c r="D23" i="14"/>
  <c r="D20" i="14"/>
  <c r="D17" i="14"/>
  <c r="E98" i="19"/>
  <c r="E97" i="19"/>
  <c r="D97" i="19"/>
  <c r="C97" i="19"/>
  <c r="E96" i="19"/>
  <c r="D96" i="19"/>
  <c r="D98" i="19"/>
  <c r="C96" i="19"/>
  <c r="C98" i="19"/>
  <c r="E92" i="19"/>
  <c r="E93" i="19"/>
  <c r="D92" i="19"/>
  <c r="C92" i="19"/>
  <c r="E91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D101" i="19"/>
  <c r="C83" i="19"/>
  <c r="C102" i="19"/>
  <c r="C101" i="19"/>
  <c r="E76" i="19"/>
  <c r="E102" i="19"/>
  <c r="D76" i="19"/>
  <c r="C76" i="19"/>
  <c r="C77" i="19"/>
  <c r="C108" i="19"/>
  <c r="E75" i="19"/>
  <c r="E77" i="19"/>
  <c r="D75" i="19"/>
  <c r="D77" i="19"/>
  <c r="C75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3" i="19"/>
  <c r="E54" i="19"/>
  <c r="D12" i="19"/>
  <c r="D23" i="19"/>
  <c r="D46" i="19"/>
  <c r="C12" i="19"/>
  <c r="C34" i="19"/>
  <c r="D21" i="18"/>
  <c r="E21" i="18"/>
  <c r="F21" i="18"/>
  <c r="C21" i="18"/>
  <c r="D19" i="18"/>
  <c r="E19" i="18"/>
  <c r="F19" i="18"/>
  <c r="C19" i="18"/>
  <c r="F17" i="18"/>
  <c r="E17" i="18"/>
  <c r="F15" i="18"/>
  <c r="E15" i="18"/>
  <c r="D45" i="17"/>
  <c r="E45" i="17"/>
  <c r="F45" i="17"/>
  <c r="C45" i="17"/>
  <c r="D44" i="17"/>
  <c r="E44" i="17"/>
  <c r="F44" i="17"/>
  <c r="C44" i="17"/>
  <c r="D43" i="17"/>
  <c r="D46" i="17"/>
  <c r="C43" i="17"/>
  <c r="C46" i="17"/>
  <c r="D36" i="17"/>
  <c r="D40" i="17"/>
  <c r="E40" i="17"/>
  <c r="C36" i="17"/>
  <c r="C40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E20" i="17"/>
  <c r="C19" i="17"/>
  <c r="C20" i="17"/>
  <c r="F18" i="17"/>
  <c r="E18" i="17"/>
  <c r="D16" i="17"/>
  <c r="E16" i="17"/>
  <c r="F16" i="17"/>
  <c r="C16" i="17"/>
  <c r="F15" i="17"/>
  <c r="E15" i="17"/>
  <c r="F13" i="17"/>
  <c r="E13" i="17"/>
  <c r="F12" i="17"/>
  <c r="E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2" i="16"/>
  <c r="C33" i="16"/>
  <c r="C21" i="16"/>
  <c r="C37" i="16"/>
  <c r="C38" i="16"/>
  <c r="C127" i="16"/>
  <c r="C129" i="16"/>
  <c r="C133" i="16"/>
  <c r="E328" i="15"/>
  <c r="E325" i="15"/>
  <c r="D324" i="15"/>
  <c r="D326" i="15"/>
  <c r="C324" i="15"/>
  <c r="C326" i="15"/>
  <c r="C330" i="15"/>
  <c r="E318" i="15"/>
  <c r="E315" i="15"/>
  <c r="D314" i="15"/>
  <c r="E314" i="15"/>
  <c r="C314" i="15"/>
  <c r="C316" i="15"/>
  <c r="C320" i="15"/>
  <c r="E308" i="15"/>
  <c r="E305" i="15"/>
  <c r="D301" i="15"/>
  <c r="E301" i="15"/>
  <c r="C301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C279" i="15"/>
  <c r="E279" i="15"/>
  <c r="D278" i="15"/>
  <c r="E278" i="15"/>
  <c r="C278" i="15"/>
  <c r="D277" i="15"/>
  <c r="E277" i="15"/>
  <c r="C277" i="15"/>
  <c r="D276" i="15"/>
  <c r="E276" i="15"/>
  <c r="C276" i="15"/>
  <c r="E270" i="15"/>
  <c r="D265" i="15"/>
  <c r="D302" i="15"/>
  <c r="C265" i="15"/>
  <c r="D262" i="15"/>
  <c r="E262" i="15"/>
  <c r="C262" i="15"/>
  <c r="D251" i="15"/>
  <c r="C251" i="15"/>
  <c r="D233" i="15"/>
  <c r="C233" i="15"/>
  <c r="D232" i="15"/>
  <c r="C232" i="15"/>
  <c r="E232" i="15"/>
  <c r="D231" i="15"/>
  <c r="E231" i="15"/>
  <c r="C231" i="15"/>
  <c r="D230" i="15"/>
  <c r="E230" i="15"/>
  <c r="C230" i="15"/>
  <c r="D228" i="15"/>
  <c r="C228" i="15"/>
  <c r="E228" i="15"/>
  <c r="D227" i="15"/>
  <c r="E227" i="15"/>
  <c r="C227" i="15"/>
  <c r="D221" i="15"/>
  <c r="D245" i="15"/>
  <c r="C221" i="15"/>
  <c r="C245" i="15"/>
  <c r="D220" i="15"/>
  <c r="E220" i="15"/>
  <c r="C220" i="15"/>
  <c r="C244" i="15"/>
  <c r="D219" i="15"/>
  <c r="E219" i="15"/>
  <c r="C219" i="15"/>
  <c r="C243" i="15"/>
  <c r="C252" i="15"/>
  <c r="D218" i="15"/>
  <c r="D242" i="15"/>
  <c r="C218" i="15"/>
  <c r="C222" i="15"/>
  <c r="D216" i="15"/>
  <c r="E216" i="15"/>
  <c r="C216" i="15"/>
  <c r="C240" i="15"/>
  <c r="D215" i="15"/>
  <c r="C215" i="15"/>
  <c r="C223" i="15"/>
  <c r="C210" i="15"/>
  <c r="C211" i="15"/>
  <c r="E209" i="15"/>
  <c r="E208" i="15"/>
  <c r="E207" i="15"/>
  <c r="E206" i="15"/>
  <c r="D205" i="15"/>
  <c r="E205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189" i="15"/>
  <c r="C188" i="15"/>
  <c r="C189" i="15"/>
  <c r="E186" i="15"/>
  <c r="E185" i="15"/>
  <c r="D179" i="15"/>
  <c r="C179" i="15"/>
  <c r="E179" i="15"/>
  <c r="D178" i="15"/>
  <c r="E178" i="15"/>
  <c r="C178" i="15"/>
  <c r="D177" i="15"/>
  <c r="E177" i="15"/>
  <c r="C177" i="15"/>
  <c r="D176" i="15"/>
  <c r="E176" i="15"/>
  <c r="C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E165" i="15"/>
  <c r="C165" i="15"/>
  <c r="D164" i="15"/>
  <c r="E164" i="15"/>
  <c r="C164" i="15"/>
  <c r="D162" i="15"/>
  <c r="E162" i="15"/>
  <c r="C162" i="15"/>
  <c r="D161" i="15"/>
  <c r="E161" i="15"/>
  <c r="C161" i="15"/>
  <c r="E155" i="15"/>
  <c r="E154" i="15"/>
  <c r="E153" i="15"/>
  <c r="E152" i="15"/>
  <c r="D151" i="15"/>
  <c r="C151" i="15"/>
  <c r="C156" i="15"/>
  <c r="C157" i="15"/>
  <c r="E150" i="15"/>
  <c r="E149" i="15"/>
  <c r="E143" i="15"/>
  <c r="E142" i="15"/>
  <c r="E141" i="15"/>
  <c r="E140" i="15"/>
  <c r="D139" i="15"/>
  <c r="D163" i="15"/>
  <c r="D175" i="15"/>
  <c r="C139" i="15"/>
  <c r="C144" i="15"/>
  <c r="E138" i="15"/>
  <c r="E137" i="15"/>
  <c r="D75" i="15"/>
  <c r="C75" i="15"/>
  <c r="D74" i="15"/>
  <c r="E74" i="15"/>
  <c r="C74" i="15"/>
  <c r="D73" i="15"/>
  <c r="C73" i="15"/>
  <c r="E73" i="15"/>
  <c r="D72" i="15"/>
  <c r="E72" i="15"/>
  <c r="C72" i="15"/>
  <c r="D70" i="15"/>
  <c r="C70" i="15"/>
  <c r="D69" i="15"/>
  <c r="E69" i="15"/>
  <c r="C69" i="15"/>
  <c r="E64" i="15"/>
  <c r="E63" i="15"/>
  <c r="E62" i="15"/>
  <c r="E61" i="15"/>
  <c r="D60" i="15"/>
  <c r="D65" i="15"/>
  <c r="D66" i="15"/>
  <c r="C60" i="15"/>
  <c r="E59" i="15"/>
  <c r="E58" i="15"/>
  <c r="C55" i="15"/>
  <c r="D54" i="15"/>
  <c r="D55" i="15"/>
  <c r="E54" i="15"/>
  <c r="C54" i="15"/>
  <c r="E53" i="15"/>
  <c r="E52" i="15"/>
  <c r="E51" i="15"/>
  <c r="E50" i="15"/>
  <c r="E49" i="15"/>
  <c r="E48" i="15"/>
  <c r="E47" i="15"/>
  <c r="D42" i="15"/>
  <c r="C42" i="15"/>
  <c r="D41" i="15"/>
  <c r="C41" i="15"/>
  <c r="E41" i="15"/>
  <c r="D40" i="15"/>
  <c r="E40" i="15"/>
  <c r="C40" i="15"/>
  <c r="D39" i="15"/>
  <c r="C39" i="15"/>
  <c r="D38" i="15"/>
  <c r="E38" i="15"/>
  <c r="C38" i="15"/>
  <c r="D37" i="15"/>
  <c r="D43" i="15"/>
  <c r="C37" i="15"/>
  <c r="C43" i="15"/>
  <c r="D36" i="15"/>
  <c r="E36" i="15"/>
  <c r="C36" i="15"/>
  <c r="D33" i="15"/>
  <c r="D32" i="15"/>
  <c r="C32" i="15"/>
  <c r="C33" i="15"/>
  <c r="E31" i="15"/>
  <c r="E30" i="15"/>
  <c r="E29" i="15"/>
  <c r="E28" i="15"/>
  <c r="E27" i="15"/>
  <c r="E26" i="15"/>
  <c r="E25" i="15"/>
  <c r="D21" i="15"/>
  <c r="D22" i="15"/>
  <c r="C21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08" i="14"/>
  <c r="F308" i="14"/>
  <c r="C307" i="14"/>
  <c r="C299" i="14"/>
  <c r="C298" i="14"/>
  <c r="E298" i="14"/>
  <c r="F298" i="14"/>
  <c r="C297" i="14"/>
  <c r="E297" i="14"/>
  <c r="F297" i="14"/>
  <c r="C296" i="14"/>
  <c r="C295" i="14"/>
  <c r="E295" i="14"/>
  <c r="C294" i="14"/>
  <c r="C250" i="14"/>
  <c r="E250" i="14"/>
  <c r="F249" i="14"/>
  <c r="E249" i="14"/>
  <c r="E248" i="14"/>
  <c r="F248" i="14"/>
  <c r="F245" i="14"/>
  <c r="E245" i="14"/>
  <c r="E244" i="14"/>
  <c r="F244" i="14"/>
  <c r="F243" i="14"/>
  <c r="E243" i="14"/>
  <c r="C238" i="14"/>
  <c r="E238" i="14"/>
  <c r="C237" i="14"/>
  <c r="F234" i="14"/>
  <c r="E234" i="14"/>
  <c r="E233" i="14"/>
  <c r="F233" i="14"/>
  <c r="C230" i="14"/>
  <c r="C229" i="14"/>
  <c r="E229" i="14"/>
  <c r="F229" i="14"/>
  <c r="E228" i="14"/>
  <c r="F228" i="14"/>
  <c r="C226" i="14"/>
  <c r="C227" i="14"/>
  <c r="E227" i="14"/>
  <c r="E225" i="14"/>
  <c r="F225" i="14"/>
  <c r="E224" i="14"/>
  <c r="F224" i="14"/>
  <c r="C223" i="14"/>
  <c r="E222" i="14"/>
  <c r="F222" i="14"/>
  <c r="E221" i="14"/>
  <c r="F221" i="14"/>
  <c r="C204" i="14"/>
  <c r="E204" i="14"/>
  <c r="C203" i="14"/>
  <c r="E203" i="14"/>
  <c r="E198" i="14"/>
  <c r="C198" i="14"/>
  <c r="C290" i="14"/>
  <c r="E290" i="14"/>
  <c r="C191" i="14"/>
  <c r="C280" i="14"/>
  <c r="C189" i="14"/>
  <c r="C255" i="14"/>
  <c r="E189" i="14"/>
  <c r="C188" i="14"/>
  <c r="C180" i="14"/>
  <c r="C179" i="14"/>
  <c r="E179" i="14"/>
  <c r="F179" i="14"/>
  <c r="C171" i="14"/>
  <c r="C170" i="14"/>
  <c r="E170" i="14"/>
  <c r="E169" i="14"/>
  <c r="F169" i="14"/>
  <c r="E168" i="14"/>
  <c r="F168" i="14"/>
  <c r="C165" i="14"/>
  <c r="E164" i="14"/>
  <c r="C164" i="14"/>
  <c r="E163" i="14"/>
  <c r="F163" i="14"/>
  <c r="C158" i="14"/>
  <c r="E157" i="14"/>
  <c r="F157" i="14"/>
  <c r="E156" i="14"/>
  <c r="F156" i="14"/>
  <c r="F155" i="14"/>
  <c r="C155" i="14"/>
  <c r="E155" i="14"/>
  <c r="E154" i="14"/>
  <c r="F154" i="14"/>
  <c r="E153" i="14"/>
  <c r="F153" i="14"/>
  <c r="C145" i="14"/>
  <c r="E144" i="14"/>
  <c r="C144" i="14"/>
  <c r="E136" i="14"/>
  <c r="C136" i="14"/>
  <c r="C137" i="14"/>
  <c r="C135" i="14"/>
  <c r="E134" i="14"/>
  <c r="F134" i="14"/>
  <c r="E133" i="14"/>
  <c r="F133" i="14"/>
  <c r="F130" i="14"/>
  <c r="C130" i="14"/>
  <c r="E130" i="14"/>
  <c r="E129" i="14"/>
  <c r="C129" i="14"/>
  <c r="E128" i="14"/>
  <c r="F128" i="14"/>
  <c r="E123" i="14"/>
  <c r="C123" i="14"/>
  <c r="C124" i="14"/>
  <c r="E124" i="14"/>
  <c r="E122" i="14"/>
  <c r="F122" i="14"/>
  <c r="F121" i="14"/>
  <c r="E121" i="14"/>
  <c r="E120" i="14"/>
  <c r="C120" i="14"/>
  <c r="E119" i="14"/>
  <c r="F119" i="14"/>
  <c r="E118" i="14"/>
  <c r="F118" i="14"/>
  <c r="C110" i="14"/>
  <c r="E110" i="14"/>
  <c r="F110" i="14"/>
  <c r="C109" i="14"/>
  <c r="C111" i="14"/>
  <c r="C101" i="14"/>
  <c r="E101" i="14"/>
  <c r="E100" i="14"/>
  <c r="C100" i="14"/>
  <c r="F100" i="14"/>
  <c r="E99" i="14"/>
  <c r="F99" i="14"/>
  <c r="F98" i="14"/>
  <c r="E98" i="14"/>
  <c r="C95" i="14"/>
  <c r="E95" i="14"/>
  <c r="C94" i="14"/>
  <c r="E94" i="14"/>
  <c r="E93" i="14"/>
  <c r="F93" i="14"/>
  <c r="E88" i="14"/>
  <c r="C88" i="14"/>
  <c r="C89" i="14"/>
  <c r="E89" i="14"/>
  <c r="E87" i="14"/>
  <c r="F87" i="14"/>
  <c r="F86" i="14"/>
  <c r="E86" i="14"/>
  <c r="C85" i="14"/>
  <c r="E85" i="14"/>
  <c r="E84" i="14"/>
  <c r="F84" i="14"/>
  <c r="E83" i="14"/>
  <c r="F83" i="14"/>
  <c r="E76" i="14"/>
  <c r="C76" i="14"/>
  <c r="C77" i="14"/>
  <c r="E77" i="14"/>
  <c r="E74" i="14"/>
  <c r="F74" i="14"/>
  <c r="F73" i="14"/>
  <c r="E73" i="14"/>
  <c r="C68" i="14"/>
  <c r="C67" i="14"/>
  <c r="E67" i="14"/>
  <c r="E66" i="14"/>
  <c r="C66" i="14"/>
  <c r="F66" i="14"/>
  <c r="E59" i="14"/>
  <c r="C59" i="14"/>
  <c r="F59" i="14"/>
  <c r="C58" i="14"/>
  <c r="F57" i="14"/>
  <c r="E57" i="14"/>
  <c r="E56" i="14"/>
  <c r="F56" i="14"/>
  <c r="C53" i="14"/>
  <c r="E53" i="14"/>
  <c r="C52" i="14"/>
  <c r="E51" i="14"/>
  <c r="F51" i="14"/>
  <c r="C47" i="14"/>
  <c r="E47" i="14"/>
  <c r="E46" i="14"/>
  <c r="F46" i="14"/>
  <c r="E45" i="14"/>
  <c r="F45" i="14"/>
  <c r="C44" i="14"/>
  <c r="E43" i="14"/>
  <c r="F43" i="14"/>
  <c r="E42" i="14"/>
  <c r="F42" i="14"/>
  <c r="E36" i="14"/>
  <c r="C36" i="14"/>
  <c r="C35" i="14"/>
  <c r="E35" i="14"/>
  <c r="C30" i="14"/>
  <c r="E30" i="14"/>
  <c r="C29" i="14"/>
  <c r="E28" i="14"/>
  <c r="F28" i="14"/>
  <c r="E27" i="14"/>
  <c r="F27" i="14"/>
  <c r="C24" i="14"/>
  <c r="C23" i="14"/>
  <c r="E23" i="14"/>
  <c r="E22" i="14"/>
  <c r="F22" i="14"/>
  <c r="C20" i="14"/>
  <c r="E20" i="14"/>
  <c r="E19" i="14"/>
  <c r="F19" i="14"/>
  <c r="E18" i="14"/>
  <c r="F18" i="14"/>
  <c r="C17" i="14"/>
  <c r="E17" i="14"/>
  <c r="E16" i="14"/>
  <c r="F16" i="14"/>
  <c r="E15" i="14"/>
  <c r="F15" i="14"/>
  <c r="D22" i="13"/>
  <c r="E22" i="13"/>
  <c r="C22" i="13"/>
  <c r="F21" i="13"/>
  <c r="E21" i="13"/>
  <c r="F20" i="13"/>
  <c r="E20" i="13"/>
  <c r="D17" i="13"/>
  <c r="E17" i="13"/>
  <c r="C17" i="13"/>
  <c r="E16" i="13"/>
  <c r="F16" i="13"/>
  <c r="D13" i="13"/>
  <c r="C13" i="13"/>
  <c r="E13" i="13"/>
  <c r="E12" i="13"/>
  <c r="F12" i="13"/>
  <c r="D99" i="12"/>
  <c r="C99" i="12"/>
  <c r="E99" i="12"/>
  <c r="E98" i="12"/>
  <c r="F98" i="12"/>
  <c r="E97" i="12"/>
  <c r="F97" i="12"/>
  <c r="E96" i="12"/>
  <c r="F96" i="12"/>
  <c r="D92" i="12"/>
  <c r="E92" i="12"/>
  <c r="C92" i="12"/>
  <c r="E91" i="12"/>
  <c r="F91" i="12"/>
  <c r="F90" i="12"/>
  <c r="E90" i="12"/>
  <c r="E89" i="12"/>
  <c r="F89" i="12"/>
  <c r="E88" i="12"/>
  <c r="F88" i="12"/>
  <c r="E87" i="12"/>
  <c r="F87" i="12"/>
  <c r="D84" i="12"/>
  <c r="E84" i="12"/>
  <c r="C84" i="12"/>
  <c r="E83" i="12"/>
  <c r="F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E75" i="12"/>
  <c r="D70" i="12"/>
  <c r="C70" i="12"/>
  <c r="E70" i="12"/>
  <c r="E69" i="12"/>
  <c r="F69" i="12"/>
  <c r="E68" i="12"/>
  <c r="F68" i="12"/>
  <c r="D65" i="12"/>
  <c r="C65" i="12"/>
  <c r="E65" i="12"/>
  <c r="E64" i="12"/>
  <c r="F64" i="12"/>
  <c r="E63" i="12"/>
  <c r="F63" i="12"/>
  <c r="D60" i="12"/>
  <c r="C60" i="12"/>
  <c r="E59" i="12"/>
  <c r="F59" i="12"/>
  <c r="E58" i="12"/>
  <c r="E60" i="12"/>
  <c r="F60" i="12"/>
  <c r="F58" i="12"/>
  <c r="D55" i="12"/>
  <c r="C55" i="12"/>
  <c r="E55" i="12"/>
  <c r="F54" i="12"/>
  <c r="E54" i="12"/>
  <c r="F53" i="12"/>
  <c r="E53" i="12"/>
  <c r="D50" i="12"/>
  <c r="E50" i="12"/>
  <c r="C50" i="12"/>
  <c r="E49" i="12"/>
  <c r="F49" i="12"/>
  <c r="E48" i="12"/>
  <c r="F48" i="12"/>
  <c r="D45" i="12"/>
  <c r="E45" i="12"/>
  <c r="F45" i="12"/>
  <c r="C45" i="12"/>
  <c r="E44" i="12"/>
  <c r="F44" i="12"/>
  <c r="E43" i="12"/>
  <c r="F43" i="12"/>
  <c r="D37" i="12"/>
  <c r="C37" i="12"/>
  <c r="E37" i="12"/>
  <c r="F36" i="12"/>
  <c r="E36" i="12"/>
  <c r="F35" i="12"/>
  <c r="E35" i="12"/>
  <c r="F34" i="12"/>
  <c r="E34" i="12"/>
  <c r="E33" i="12"/>
  <c r="F33" i="12"/>
  <c r="D30" i="12"/>
  <c r="C30" i="12"/>
  <c r="F30" i="12"/>
  <c r="F29" i="12"/>
  <c r="E29" i="12"/>
  <c r="F28" i="12"/>
  <c r="E28" i="12"/>
  <c r="F27" i="12"/>
  <c r="E27" i="12"/>
  <c r="F26" i="12"/>
  <c r="E26" i="12"/>
  <c r="D23" i="12"/>
  <c r="C23" i="12"/>
  <c r="E23" i="12"/>
  <c r="F23" i="12"/>
  <c r="F22" i="12"/>
  <c r="E22" i="12"/>
  <c r="E21" i="12"/>
  <c r="F21" i="12"/>
  <c r="E20" i="12"/>
  <c r="F20" i="12"/>
  <c r="E19" i="12"/>
  <c r="F19" i="12"/>
  <c r="D16" i="12"/>
  <c r="C16" i="12"/>
  <c r="E16" i="12"/>
  <c r="F15" i="12"/>
  <c r="E15" i="12"/>
  <c r="E14" i="12"/>
  <c r="F14" i="12"/>
  <c r="E13" i="12"/>
  <c r="F13" i="12"/>
  <c r="E12" i="12"/>
  <c r="F12" i="12"/>
  <c r="I37" i="11"/>
  <c r="H37" i="11"/>
  <c r="G33" i="11"/>
  <c r="G36" i="11"/>
  <c r="G38" i="11"/>
  <c r="G40" i="11"/>
  <c r="D33" i="11"/>
  <c r="D36" i="11"/>
  <c r="D38" i="11"/>
  <c r="D40" i="11"/>
  <c r="D31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/>
  <c r="F17" i="11"/>
  <c r="F31" i="11"/>
  <c r="E17" i="11"/>
  <c r="E31" i="11"/>
  <c r="D17" i="11"/>
  <c r="C17" i="11"/>
  <c r="I17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E73" i="10"/>
  <c r="E75" i="10"/>
  <c r="D73" i="10"/>
  <c r="D75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C55" i="10"/>
  <c r="E54" i="10"/>
  <c r="E50" i="10"/>
  <c r="D54" i="10"/>
  <c r="C54" i="10"/>
  <c r="C50" i="10"/>
  <c r="E46" i="10"/>
  <c r="E59" i="10"/>
  <c r="E61" i="10"/>
  <c r="E57" i="10"/>
  <c r="D46" i="10"/>
  <c r="D59" i="10"/>
  <c r="D61" i="10"/>
  <c r="D57" i="10"/>
  <c r="C46" i="10"/>
  <c r="C48" i="10"/>
  <c r="C42" i="10"/>
  <c r="E45" i="10"/>
  <c r="D45" i="10"/>
  <c r="C45" i="10"/>
  <c r="E38" i="10"/>
  <c r="D38" i="10"/>
  <c r="C38" i="10"/>
  <c r="D34" i="10"/>
  <c r="E33" i="10"/>
  <c r="E34" i="10"/>
  <c r="D33" i="10"/>
  <c r="E26" i="10"/>
  <c r="D26" i="10"/>
  <c r="C26" i="10"/>
  <c r="D15" i="10"/>
  <c r="D17" i="10"/>
  <c r="D28" i="10"/>
  <c r="D70" i="10"/>
  <c r="D72" i="10"/>
  <c r="E13" i="10"/>
  <c r="E15" i="10"/>
  <c r="E17" i="10"/>
  <c r="E28" i="10"/>
  <c r="E70" i="10"/>
  <c r="E72" i="10"/>
  <c r="D13" i="10"/>
  <c r="D25" i="10"/>
  <c r="D27" i="10"/>
  <c r="C13" i="10"/>
  <c r="C25" i="10"/>
  <c r="C27" i="10"/>
  <c r="D46" i="9"/>
  <c r="C46" i="9"/>
  <c r="E46" i="9"/>
  <c r="F46" i="9"/>
  <c r="F45" i="9"/>
  <c r="E45" i="9"/>
  <c r="E44" i="9"/>
  <c r="F44" i="9"/>
  <c r="D39" i="9"/>
  <c r="C39" i="9"/>
  <c r="E39" i="9"/>
  <c r="E38" i="9"/>
  <c r="F38" i="9"/>
  <c r="E37" i="9"/>
  <c r="F37" i="9"/>
  <c r="F36" i="9"/>
  <c r="E36" i="9"/>
  <c r="D31" i="9"/>
  <c r="E31" i="9"/>
  <c r="C31" i="9"/>
  <c r="F30" i="9"/>
  <c r="E30" i="9"/>
  <c r="E29" i="9"/>
  <c r="F29" i="9"/>
  <c r="E28" i="9"/>
  <c r="F28" i="9"/>
  <c r="E27" i="9"/>
  <c r="F27" i="9"/>
  <c r="E26" i="9"/>
  <c r="F26" i="9"/>
  <c r="F25" i="9"/>
  <c r="E25" i="9"/>
  <c r="E24" i="9"/>
  <c r="F24" i="9"/>
  <c r="F23" i="9"/>
  <c r="E23" i="9"/>
  <c r="E22" i="9"/>
  <c r="F22" i="9"/>
  <c r="E18" i="9"/>
  <c r="F18" i="9"/>
  <c r="E17" i="9"/>
  <c r="F17" i="9"/>
  <c r="D16" i="9"/>
  <c r="D19" i="9"/>
  <c r="D33" i="9"/>
  <c r="D41" i="9"/>
  <c r="D48" i="9"/>
  <c r="C16" i="9"/>
  <c r="F15" i="9"/>
  <c r="E15" i="9"/>
  <c r="E14" i="9"/>
  <c r="F14" i="9"/>
  <c r="F13" i="9"/>
  <c r="E13" i="9"/>
  <c r="E12" i="9"/>
  <c r="F12" i="9"/>
  <c r="D73" i="8"/>
  <c r="C73" i="8"/>
  <c r="E73" i="8"/>
  <c r="E72" i="8"/>
  <c r="F72" i="8"/>
  <c r="E71" i="8"/>
  <c r="F71" i="8"/>
  <c r="E70" i="8"/>
  <c r="F70" i="8"/>
  <c r="F67" i="8"/>
  <c r="E67" i="8"/>
  <c r="F64" i="8"/>
  <c r="E64" i="8"/>
  <c r="E63" i="8"/>
  <c r="F63" i="8"/>
  <c r="D61" i="8"/>
  <c r="E61" i="8"/>
  <c r="C61" i="8"/>
  <c r="C65" i="8"/>
  <c r="E60" i="8"/>
  <c r="F60" i="8"/>
  <c r="E59" i="8"/>
  <c r="F59" i="8"/>
  <c r="D56" i="8"/>
  <c r="C56" i="8"/>
  <c r="E55" i="8"/>
  <c r="F55" i="8"/>
  <c r="F54" i="8"/>
  <c r="E54" i="8"/>
  <c r="E53" i="8"/>
  <c r="F53" i="8"/>
  <c r="F52" i="8"/>
  <c r="E52" i="8"/>
  <c r="F51" i="8"/>
  <c r="E51" i="8"/>
  <c r="E50" i="8"/>
  <c r="F50" i="8"/>
  <c r="A50" i="8"/>
  <c r="A51" i="8"/>
  <c r="A52" i="8"/>
  <c r="A53" i="8"/>
  <c r="A54" i="8"/>
  <c r="A55" i="8"/>
  <c r="E49" i="8"/>
  <c r="F49" i="8"/>
  <c r="F40" i="8"/>
  <c r="E40" i="8"/>
  <c r="D38" i="8"/>
  <c r="D41" i="8"/>
  <c r="C38" i="8"/>
  <c r="E37" i="8"/>
  <c r="F37" i="8"/>
  <c r="E36" i="8"/>
  <c r="F36" i="8"/>
  <c r="E33" i="8"/>
  <c r="F33" i="8"/>
  <c r="F32" i="8"/>
  <c r="E32" i="8"/>
  <c r="F31" i="8"/>
  <c r="E31" i="8"/>
  <c r="D29" i="8"/>
  <c r="C29" i="8"/>
  <c r="E29" i="8"/>
  <c r="F28" i="8"/>
  <c r="E28" i="8"/>
  <c r="F27" i="8"/>
  <c r="E27" i="8"/>
  <c r="F26" i="8"/>
  <c r="E26" i="8"/>
  <c r="E25" i="8"/>
  <c r="F25" i="8"/>
  <c r="D22" i="8"/>
  <c r="C22" i="8"/>
  <c r="E22" i="8"/>
  <c r="F22" i="8"/>
  <c r="F21" i="8"/>
  <c r="E21" i="8"/>
  <c r="E20" i="8"/>
  <c r="F20" i="8"/>
  <c r="E19" i="8"/>
  <c r="F19" i="8"/>
  <c r="F18" i="8"/>
  <c r="E18" i="8"/>
  <c r="F17" i="8"/>
  <c r="E17" i="8"/>
  <c r="E16" i="8"/>
  <c r="F16" i="8"/>
  <c r="E15" i="8"/>
  <c r="F15" i="8"/>
  <c r="F14" i="8"/>
  <c r="E14" i="8"/>
  <c r="E13" i="8"/>
  <c r="F13" i="8"/>
  <c r="D120" i="7"/>
  <c r="E120" i="7"/>
  <c r="C120" i="7"/>
  <c r="D119" i="7"/>
  <c r="C119" i="7"/>
  <c r="E119" i="7"/>
  <c r="D118" i="7"/>
  <c r="E118" i="7"/>
  <c r="C118" i="7"/>
  <c r="D117" i="7"/>
  <c r="E117" i="7"/>
  <c r="C117" i="7"/>
  <c r="D116" i="7"/>
  <c r="E116" i="7"/>
  <c r="C116" i="7"/>
  <c r="D115" i="7"/>
  <c r="C115" i="7"/>
  <c r="E115" i="7"/>
  <c r="D114" i="7"/>
  <c r="E114" i="7"/>
  <c r="C114" i="7"/>
  <c r="D113" i="7"/>
  <c r="E113" i="7"/>
  <c r="C113" i="7"/>
  <c r="D112" i="7"/>
  <c r="D121" i="7"/>
  <c r="E112" i="7"/>
  <c r="C112" i="7"/>
  <c r="D108" i="7"/>
  <c r="C108" i="7"/>
  <c r="E108" i="7"/>
  <c r="D107" i="7"/>
  <c r="E107" i="7"/>
  <c r="C107" i="7"/>
  <c r="E106" i="7"/>
  <c r="F106" i="7"/>
  <c r="F105" i="7"/>
  <c r="E105" i="7"/>
  <c r="E104" i="7"/>
  <c r="F104" i="7"/>
  <c r="E103" i="7"/>
  <c r="F103" i="7"/>
  <c r="E102" i="7"/>
  <c r="F102" i="7"/>
  <c r="E101" i="7"/>
  <c r="F101" i="7"/>
  <c r="E100" i="7"/>
  <c r="F100" i="7"/>
  <c r="F99" i="7"/>
  <c r="E99" i="7"/>
  <c r="E98" i="7"/>
  <c r="F98" i="7"/>
  <c r="D96" i="7"/>
  <c r="C96" i="7"/>
  <c r="F96" i="7"/>
  <c r="D95" i="7"/>
  <c r="C95" i="7"/>
  <c r="F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E72" i="7"/>
  <c r="D71" i="7"/>
  <c r="C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D59" i="7"/>
  <c r="E59" i="7"/>
  <c r="C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C48" i="7"/>
  <c r="E48" i="7"/>
  <c r="D47" i="7"/>
  <c r="C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F24" i="7"/>
  <c r="E24" i="7"/>
  <c r="D23" i="7"/>
  <c r="C23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C206" i="6"/>
  <c r="D205" i="6"/>
  <c r="C205" i="6"/>
  <c r="E205" i="6"/>
  <c r="D204" i="6"/>
  <c r="E204" i="6"/>
  <c r="C204" i="6"/>
  <c r="D203" i="6"/>
  <c r="E203" i="6"/>
  <c r="C203" i="6"/>
  <c r="D202" i="6"/>
  <c r="E202" i="6"/>
  <c r="C202" i="6"/>
  <c r="D201" i="6"/>
  <c r="C201" i="6"/>
  <c r="D200" i="6"/>
  <c r="E200" i="6"/>
  <c r="C200" i="6"/>
  <c r="D199" i="6"/>
  <c r="D208" i="6"/>
  <c r="C199" i="6"/>
  <c r="E199" i="6"/>
  <c r="D198" i="6"/>
  <c r="D207" i="6"/>
  <c r="C198" i="6"/>
  <c r="E198" i="6"/>
  <c r="D193" i="6"/>
  <c r="E193" i="6"/>
  <c r="C193" i="6"/>
  <c r="D192" i="6"/>
  <c r="E192" i="6"/>
  <c r="C192" i="6"/>
  <c r="E191" i="6"/>
  <c r="F191" i="6"/>
  <c r="E190" i="6"/>
  <c r="F190" i="6"/>
  <c r="E189" i="6"/>
  <c r="F189" i="6"/>
  <c r="F188" i="6"/>
  <c r="E188" i="6"/>
  <c r="E187" i="6"/>
  <c r="F187" i="6"/>
  <c r="F186" i="6"/>
  <c r="E186" i="6"/>
  <c r="E185" i="6"/>
  <c r="F185" i="6"/>
  <c r="E184" i="6"/>
  <c r="F184" i="6"/>
  <c r="E183" i="6"/>
  <c r="F183" i="6"/>
  <c r="D180" i="6"/>
  <c r="C180" i="6"/>
  <c r="E180" i="6"/>
  <c r="D179" i="6"/>
  <c r="C179" i="6"/>
  <c r="E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E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C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E128" i="6"/>
  <c r="D127" i="6"/>
  <c r="C127" i="6"/>
  <c r="E127" i="6"/>
  <c r="E126" i="6"/>
  <c r="F126" i="6"/>
  <c r="E125" i="6"/>
  <c r="F125" i="6"/>
  <c r="F124" i="6"/>
  <c r="E124" i="6"/>
  <c r="E123" i="6"/>
  <c r="F123" i="6"/>
  <c r="F122" i="6"/>
  <c r="E122" i="6"/>
  <c r="E121" i="6"/>
  <c r="F121" i="6"/>
  <c r="F120" i="6"/>
  <c r="E120" i="6"/>
  <c r="E119" i="6"/>
  <c r="F119" i="6"/>
  <c r="F118" i="6"/>
  <c r="E118" i="6"/>
  <c r="D115" i="6"/>
  <c r="E115" i="6"/>
  <c r="C115" i="6"/>
  <c r="F115" i="6"/>
  <c r="D114" i="6"/>
  <c r="E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E102" i="6"/>
  <c r="F102" i="6"/>
  <c r="D101" i="6"/>
  <c r="C101" i="6"/>
  <c r="E101" i="6"/>
  <c r="F101" i="6"/>
  <c r="F100" i="6"/>
  <c r="E100" i="6"/>
  <c r="E99" i="6"/>
  <c r="F99" i="6"/>
  <c r="F98" i="6"/>
  <c r="E98" i="6"/>
  <c r="E97" i="6"/>
  <c r="F97" i="6"/>
  <c r="F96" i="6"/>
  <c r="E96" i="6"/>
  <c r="E95" i="6"/>
  <c r="F95" i="6"/>
  <c r="F94" i="6"/>
  <c r="E94" i="6"/>
  <c r="E93" i="6"/>
  <c r="F93" i="6"/>
  <c r="F92" i="6"/>
  <c r="E92" i="6"/>
  <c r="D89" i="6"/>
  <c r="E89" i="6"/>
  <c r="F89" i="6"/>
  <c r="C89" i="6"/>
  <c r="D88" i="6"/>
  <c r="E88" i="6"/>
  <c r="C88" i="6"/>
  <c r="E87" i="6"/>
  <c r="F87" i="6"/>
  <c r="F86" i="6"/>
  <c r="E86" i="6"/>
  <c r="E85" i="6"/>
  <c r="F85" i="6"/>
  <c r="F84" i="6"/>
  <c r="E84" i="6"/>
  <c r="E83" i="6"/>
  <c r="F83" i="6"/>
  <c r="F82" i="6"/>
  <c r="E82" i="6"/>
  <c r="E81" i="6"/>
  <c r="F81" i="6"/>
  <c r="F80" i="6"/>
  <c r="E80" i="6"/>
  <c r="E79" i="6"/>
  <c r="F79" i="6"/>
  <c r="D76" i="6"/>
  <c r="C76" i="6"/>
  <c r="E76" i="6"/>
  <c r="F76" i="6"/>
  <c r="D75" i="6"/>
  <c r="C75" i="6"/>
  <c r="E75" i="6"/>
  <c r="F75" i="6"/>
  <c r="F74" i="6"/>
  <c r="E74" i="6"/>
  <c r="E73" i="6"/>
  <c r="F73" i="6"/>
  <c r="F72" i="6"/>
  <c r="E72" i="6"/>
  <c r="E71" i="6"/>
  <c r="F71" i="6"/>
  <c r="F70" i="6"/>
  <c r="E70" i="6"/>
  <c r="E69" i="6"/>
  <c r="F69" i="6"/>
  <c r="F68" i="6"/>
  <c r="E68" i="6"/>
  <c r="E67" i="6"/>
  <c r="F67" i="6"/>
  <c r="F66" i="6"/>
  <c r="E66" i="6"/>
  <c r="D63" i="6"/>
  <c r="E63" i="6"/>
  <c r="C63" i="6"/>
  <c r="F63" i="6"/>
  <c r="D62" i="6"/>
  <c r="E62" i="6"/>
  <c r="C62" i="6"/>
  <c r="F62" i="6"/>
  <c r="E61" i="6"/>
  <c r="F61" i="6"/>
  <c r="F60" i="6"/>
  <c r="E60" i="6"/>
  <c r="E59" i="6"/>
  <c r="F59" i="6"/>
  <c r="F58" i="6"/>
  <c r="E58" i="6"/>
  <c r="E57" i="6"/>
  <c r="F57" i="6"/>
  <c r="F56" i="6"/>
  <c r="E56" i="6"/>
  <c r="E55" i="6"/>
  <c r="F55" i="6"/>
  <c r="F54" i="6"/>
  <c r="E54" i="6"/>
  <c r="E53" i="6"/>
  <c r="F53" i="6"/>
  <c r="D50" i="6"/>
  <c r="C50" i="6"/>
  <c r="E50" i="6"/>
  <c r="F50" i="6"/>
  <c r="D49" i="6"/>
  <c r="C49" i="6"/>
  <c r="E49" i="6"/>
  <c r="F49" i="6"/>
  <c r="F48" i="6"/>
  <c r="E48" i="6"/>
  <c r="E47" i="6"/>
  <c r="F47" i="6"/>
  <c r="F46" i="6"/>
  <c r="E46" i="6"/>
  <c r="E45" i="6"/>
  <c r="F45" i="6"/>
  <c r="F44" i="6"/>
  <c r="E44" i="6"/>
  <c r="E43" i="6"/>
  <c r="F43" i="6"/>
  <c r="F42" i="6"/>
  <c r="E42" i="6"/>
  <c r="E41" i="6"/>
  <c r="F41" i="6"/>
  <c r="F40" i="6"/>
  <c r="E40" i="6"/>
  <c r="D37" i="6"/>
  <c r="E37" i="6"/>
  <c r="C37" i="6"/>
  <c r="F37" i="6"/>
  <c r="D36" i="6"/>
  <c r="E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E24" i="6"/>
  <c r="F24" i="6"/>
  <c r="D23" i="6"/>
  <c r="C23" i="6"/>
  <c r="E23" i="6"/>
  <c r="F23" i="6"/>
  <c r="F22" i="6"/>
  <c r="E22" i="6"/>
  <c r="E21" i="6"/>
  <c r="F21" i="6"/>
  <c r="F20" i="6"/>
  <c r="E20" i="6"/>
  <c r="E19" i="6"/>
  <c r="F19" i="6"/>
  <c r="F18" i="6"/>
  <c r="E18" i="6"/>
  <c r="E17" i="6"/>
  <c r="F17" i="6"/>
  <c r="F16" i="6"/>
  <c r="E16" i="6"/>
  <c r="E15" i="6"/>
  <c r="F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C160" i="5"/>
  <c r="C166" i="5"/>
  <c r="E162" i="5"/>
  <c r="D162" i="5"/>
  <c r="C162" i="5"/>
  <c r="E161" i="5"/>
  <c r="D161" i="5"/>
  <c r="C161" i="5"/>
  <c r="E147" i="5"/>
  <c r="D147" i="5"/>
  <c r="D143" i="5"/>
  <c r="D149" i="5"/>
  <c r="C147" i="5"/>
  <c r="C143" i="5"/>
  <c r="C149" i="5"/>
  <c r="E145" i="5"/>
  <c r="D145" i="5"/>
  <c r="C145" i="5"/>
  <c r="E144" i="5"/>
  <c r="D144" i="5"/>
  <c r="C144" i="5"/>
  <c r="E143" i="5"/>
  <c r="E149" i="5"/>
  <c r="E126" i="5"/>
  <c r="D126" i="5"/>
  <c r="C126" i="5"/>
  <c r="E119" i="5"/>
  <c r="D119" i="5"/>
  <c r="C119" i="5"/>
  <c r="E108" i="5"/>
  <c r="E109" i="5"/>
  <c r="E106" i="5"/>
  <c r="D108" i="5"/>
  <c r="C108" i="5"/>
  <c r="E107" i="5"/>
  <c r="D107" i="5"/>
  <c r="D109" i="5"/>
  <c r="D106" i="5"/>
  <c r="C107" i="5"/>
  <c r="C109" i="5"/>
  <c r="C106" i="5"/>
  <c r="E104" i="5"/>
  <c r="E102" i="5"/>
  <c r="D102" i="5"/>
  <c r="D104" i="5"/>
  <c r="C102" i="5"/>
  <c r="C104" i="5"/>
  <c r="E100" i="5"/>
  <c r="D100" i="5"/>
  <c r="C100" i="5"/>
  <c r="E95" i="5"/>
  <c r="D95" i="5"/>
  <c r="D94" i="5"/>
  <c r="C95" i="5"/>
  <c r="C94" i="5"/>
  <c r="E94" i="5"/>
  <c r="E89" i="5"/>
  <c r="D89" i="5"/>
  <c r="C89" i="5"/>
  <c r="C88" i="5"/>
  <c r="C90" i="5"/>
  <c r="C86" i="5"/>
  <c r="E87" i="5"/>
  <c r="D87" i="5"/>
  <c r="C87" i="5"/>
  <c r="E84" i="5"/>
  <c r="E79" i="5"/>
  <c r="D84" i="5"/>
  <c r="D79" i="5"/>
  <c r="C84" i="5"/>
  <c r="E83" i="5"/>
  <c r="D83" i="5"/>
  <c r="C83" i="5"/>
  <c r="C79" i="5"/>
  <c r="E75" i="5"/>
  <c r="E77" i="5"/>
  <c r="E71" i="5"/>
  <c r="E88" i="5"/>
  <c r="E90" i="5"/>
  <c r="E86" i="5"/>
  <c r="D75" i="5"/>
  <c r="D88" i="5"/>
  <c r="D90" i="5"/>
  <c r="D86" i="5"/>
  <c r="C75" i="5"/>
  <c r="C77" i="5"/>
  <c r="C71" i="5"/>
  <c r="E74" i="5"/>
  <c r="D74" i="5"/>
  <c r="C74" i="5"/>
  <c r="E67" i="5"/>
  <c r="D67" i="5"/>
  <c r="C67" i="5"/>
  <c r="E38" i="5"/>
  <c r="E53" i="5"/>
  <c r="D38" i="5"/>
  <c r="D43" i="5"/>
  <c r="D57" i="5"/>
  <c r="D62" i="5"/>
  <c r="C38" i="5"/>
  <c r="C53" i="5"/>
  <c r="E33" i="5"/>
  <c r="E34" i="5"/>
  <c r="D33" i="5"/>
  <c r="D34" i="5"/>
  <c r="E26" i="5"/>
  <c r="D26" i="5"/>
  <c r="C26" i="5"/>
  <c r="E13" i="5"/>
  <c r="E15" i="5"/>
  <c r="E24" i="5"/>
  <c r="E25" i="5"/>
  <c r="E27" i="5"/>
  <c r="D13" i="5"/>
  <c r="D25" i="5"/>
  <c r="D27" i="5"/>
  <c r="D21" i="5"/>
  <c r="C13" i="5"/>
  <c r="C25" i="5"/>
  <c r="C27" i="5"/>
  <c r="C15" i="5"/>
  <c r="F186" i="4"/>
  <c r="E186" i="4"/>
  <c r="D183" i="4"/>
  <c r="C183" i="4"/>
  <c r="C188" i="4"/>
  <c r="F182" i="4"/>
  <c r="E182" i="4"/>
  <c r="E181" i="4"/>
  <c r="F181" i="4"/>
  <c r="F180" i="4"/>
  <c r="E180" i="4"/>
  <c r="F179" i="4"/>
  <c r="E179" i="4"/>
  <c r="F178" i="4"/>
  <c r="E178" i="4"/>
  <c r="F177" i="4"/>
  <c r="E177" i="4"/>
  <c r="F176" i="4"/>
  <c r="E176" i="4"/>
  <c r="E175" i="4"/>
  <c r="F175" i="4"/>
  <c r="F174" i="4"/>
  <c r="E174" i="4"/>
  <c r="E173" i="4"/>
  <c r="F173" i="4"/>
  <c r="F172" i="4"/>
  <c r="E172" i="4"/>
  <c r="E171" i="4"/>
  <c r="F171" i="4"/>
  <c r="F170" i="4"/>
  <c r="E170" i="4"/>
  <c r="D167" i="4"/>
  <c r="E167" i="4"/>
  <c r="F167" i="4"/>
  <c r="C167" i="4"/>
  <c r="E166" i="4"/>
  <c r="F166" i="4"/>
  <c r="F165" i="4"/>
  <c r="E165" i="4"/>
  <c r="E164" i="4"/>
  <c r="F164" i="4"/>
  <c r="E163" i="4"/>
  <c r="F163" i="4"/>
  <c r="E162" i="4"/>
  <c r="F162" i="4"/>
  <c r="F161" i="4"/>
  <c r="E161" i="4"/>
  <c r="E160" i="4"/>
  <c r="F160" i="4"/>
  <c r="E159" i="4"/>
  <c r="F159" i="4"/>
  <c r="F158" i="4"/>
  <c r="E158" i="4"/>
  <c r="E157" i="4"/>
  <c r="F157" i="4"/>
  <c r="E156" i="4"/>
  <c r="F156" i="4"/>
  <c r="E155" i="4"/>
  <c r="F155" i="4"/>
  <c r="E154" i="4"/>
  <c r="F154" i="4"/>
  <c r="F153" i="4"/>
  <c r="E153" i="4"/>
  <c r="E152" i="4"/>
  <c r="F152" i="4"/>
  <c r="F151" i="4"/>
  <c r="E151" i="4"/>
  <c r="E150" i="4"/>
  <c r="F150" i="4"/>
  <c r="F149" i="4"/>
  <c r="E149" i="4"/>
  <c r="F148" i="4"/>
  <c r="E148" i="4"/>
  <c r="F147" i="4"/>
  <c r="E147" i="4"/>
  <c r="E146" i="4"/>
  <c r="F146" i="4"/>
  <c r="E145" i="4"/>
  <c r="F145" i="4"/>
  <c r="E144" i="4"/>
  <c r="F144" i="4"/>
  <c r="F143" i="4"/>
  <c r="E143" i="4"/>
  <c r="E142" i="4"/>
  <c r="F142" i="4"/>
  <c r="E141" i="4"/>
  <c r="F141" i="4"/>
  <c r="E140" i="4"/>
  <c r="F140" i="4"/>
  <c r="E139" i="4"/>
  <c r="F139" i="4"/>
  <c r="E138" i="4"/>
  <c r="F138" i="4"/>
  <c r="E137" i="4"/>
  <c r="F137" i="4"/>
  <c r="F136" i="4"/>
  <c r="E136" i="4"/>
  <c r="E135" i="4"/>
  <c r="F135" i="4"/>
  <c r="E134" i="4"/>
  <c r="F134" i="4"/>
  <c r="E133" i="4"/>
  <c r="F133" i="4"/>
  <c r="D130" i="4"/>
  <c r="E130" i="4"/>
  <c r="C130" i="4"/>
  <c r="E129" i="4"/>
  <c r="F129" i="4"/>
  <c r="F128" i="4"/>
  <c r="E128" i="4"/>
  <c r="E127" i="4"/>
  <c r="F127" i="4"/>
  <c r="F126" i="4"/>
  <c r="E126" i="4"/>
  <c r="F125" i="4"/>
  <c r="E125" i="4"/>
  <c r="F124" i="4"/>
  <c r="E124" i="4"/>
  <c r="D121" i="4"/>
  <c r="E121" i="4"/>
  <c r="F121" i="4"/>
  <c r="C121" i="4"/>
  <c r="F120" i="4"/>
  <c r="E120" i="4"/>
  <c r="E119" i="4"/>
  <c r="F119" i="4"/>
  <c r="E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E111" i="4"/>
  <c r="F111" i="4"/>
  <c r="E110" i="4"/>
  <c r="F110" i="4"/>
  <c r="E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F93" i="4"/>
  <c r="E93" i="4"/>
  <c r="D90" i="4"/>
  <c r="C90" i="4"/>
  <c r="C95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F75" i="4"/>
  <c r="E75" i="4"/>
  <c r="E74" i="4"/>
  <c r="F74" i="4"/>
  <c r="F73" i="4"/>
  <c r="E73" i="4"/>
  <c r="E72" i="4"/>
  <c r="F72" i="4"/>
  <c r="F71" i="4"/>
  <c r="E71" i="4"/>
  <c r="E70" i="4"/>
  <c r="F70" i="4"/>
  <c r="F69" i="4"/>
  <c r="E69" i="4"/>
  <c r="E68" i="4"/>
  <c r="F68" i="4"/>
  <c r="F67" i="4"/>
  <c r="E67" i="4"/>
  <c r="E66" i="4"/>
  <c r="F66" i="4"/>
  <c r="F65" i="4"/>
  <c r="E65" i="4"/>
  <c r="E64" i="4"/>
  <c r="F64" i="4"/>
  <c r="F63" i="4"/>
  <c r="E63" i="4"/>
  <c r="E62" i="4"/>
  <c r="F62" i="4"/>
  <c r="D59" i="4"/>
  <c r="C59" i="4"/>
  <c r="E59" i="4"/>
  <c r="F59" i="4"/>
  <c r="F58" i="4"/>
  <c r="E58" i="4"/>
  <c r="E57" i="4"/>
  <c r="F57" i="4"/>
  <c r="F56" i="4"/>
  <c r="E56" i="4"/>
  <c r="E55" i="4"/>
  <c r="F55" i="4"/>
  <c r="F54" i="4"/>
  <c r="E54" i="4"/>
  <c r="E53" i="4"/>
  <c r="F53" i="4"/>
  <c r="F50" i="4"/>
  <c r="E50" i="4"/>
  <c r="E47" i="4"/>
  <c r="F47" i="4"/>
  <c r="F44" i="4"/>
  <c r="E44" i="4"/>
  <c r="D41" i="4"/>
  <c r="E41" i="4"/>
  <c r="F41" i="4"/>
  <c r="C41" i="4"/>
  <c r="E40" i="4"/>
  <c r="F40" i="4"/>
  <c r="E39" i="4"/>
  <c r="F39" i="4"/>
  <c r="E38" i="4"/>
  <c r="F38" i="4"/>
  <c r="D35" i="4"/>
  <c r="C35" i="4"/>
  <c r="E35" i="4"/>
  <c r="F35" i="4"/>
  <c r="E34" i="4"/>
  <c r="F34" i="4"/>
  <c r="E33" i="4"/>
  <c r="F33" i="4"/>
  <c r="D30" i="4"/>
  <c r="C30" i="4"/>
  <c r="E30" i="4"/>
  <c r="F30" i="4"/>
  <c r="E29" i="4"/>
  <c r="F29" i="4"/>
  <c r="E28" i="4"/>
  <c r="F28" i="4"/>
  <c r="E27" i="4"/>
  <c r="F27" i="4"/>
  <c r="D24" i="4"/>
  <c r="E24" i="4"/>
  <c r="C24" i="4"/>
  <c r="E23" i="4"/>
  <c r="F23" i="4"/>
  <c r="F22" i="4"/>
  <c r="E22" i="4"/>
  <c r="E21" i="4"/>
  <c r="F21" i="4"/>
  <c r="D18" i="4"/>
  <c r="C18" i="4"/>
  <c r="E18" i="4"/>
  <c r="F18" i="4"/>
  <c r="F17" i="4"/>
  <c r="E17" i="4"/>
  <c r="E16" i="4"/>
  <c r="F16" i="4"/>
  <c r="F15" i="4"/>
  <c r="E15" i="4"/>
  <c r="D179" i="3"/>
  <c r="E179" i="3"/>
  <c r="C179" i="3"/>
  <c r="F179" i="3"/>
  <c r="E178" i="3"/>
  <c r="F178" i="3"/>
  <c r="F177" i="3"/>
  <c r="E177" i="3"/>
  <c r="E176" i="3"/>
  <c r="F176" i="3"/>
  <c r="F175" i="3"/>
  <c r="E175" i="3"/>
  <c r="E174" i="3"/>
  <c r="F174" i="3"/>
  <c r="F173" i="3"/>
  <c r="E173" i="3"/>
  <c r="E172" i="3"/>
  <c r="F172" i="3"/>
  <c r="F171" i="3"/>
  <c r="E171" i="3"/>
  <c r="E170" i="3"/>
  <c r="F170" i="3"/>
  <c r="F169" i="3"/>
  <c r="E169" i="3"/>
  <c r="E168" i="3"/>
  <c r="F168" i="3"/>
  <c r="D166" i="3"/>
  <c r="C166" i="3"/>
  <c r="E166" i="3"/>
  <c r="F166" i="3"/>
  <c r="F165" i="3"/>
  <c r="E165" i="3"/>
  <c r="F164" i="3"/>
  <c r="E164" i="3"/>
  <c r="F163" i="3"/>
  <c r="E163" i="3"/>
  <c r="E162" i="3"/>
  <c r="F162" i="3"/>
  <c r="F161" i="3"/>
  <c r="E161" i="3"/>
  <c r="E160" i="3"/>
  <c r="F160" i="3"/>
  <c r="F159" i="3"/>
  <c r="E159" i="3"/>
  <c r="E158" i="3"/>
  <c r="F158" i="3"/>
  <c r="F157" i="3"/>
  <c r="E157" i="3"/>
  <c r="E156" i="3"/>
  <c r="F156" i="3"/>
  <c r="F155" i="3"/>
  <c r="E155" i="3"/>
  <c r="D153" i="3"/>
  <c r="E153" i="3"/>
  <c r="C153" i="3"/>
  <c r="E152" i="3"/>
  <c r="F152" i="3"/>
  <c r="F151" i="3"/>
  <c r="E151" i="3"/>
  <c r="E150" i="3"/>
  <c r="F150" i="3"/>
  <c r="F149" i="3"/>
  <c r="E149" i="3"/>
  <c r="E148" i="3"/>
  <c r="F148" i="3"/>
  <c r="F147" i="3"/>
  <c r="E147" i="3"/>
  <c r="E146" i="3"/>
  <c r="F146" i="3"/>
  <c r="F145" i="3"/>
  <c r="E145" i="3"/>
  <c r="E144" i="3"/>
  <c r="F144" i="3"/>
  <c r="F143" i="3"/>
  <c r="E143" i="3"/>
  <c r="E142" i="3"/>
  <c r="F142" i="3"/>
  <c r="D137" i="3"/>
  <c r="C137" i="3"/>
  <c r="E137" i="3"/>
  <c r="F137" i="3"/>
  <c r="F136" i="3"/>
  <c r="E136" i="3"/>
  <c r="F135" i="3"/>
  <c r="E135" i="3"/>
  <c r="F134" i="3"/>
  <c r="E134" i="3"/>
  <c r="E133" i="3"/>
  <c r="F133" i="3"/>
  <c r="F132" i="3"/>
  <c r="E132" i="3"/>
  <c r="E131" i="3"/>
  <c r="F131" i="3"/>
  <c r="F130" i="3"/>
  <c r="E130" i="3"/>
  <c r="E129" i="3"/>
  <c r="F129" i="3"/>
  <c r="F128" i="3"/>
  <c r="E128" i="3"/>
  <c r="E127" i="3"/>
  <c r="F127" i="3"/>
  <c r="F126" i="3"/>
  <c r="E126" i="3"/>
  <c r="D124" i="3"/>
  <c r="E124" i="3"/>
  <c r="C124" i="3"/>
  <c r="F124" i="3"/>
  <c r="E123" i="3"/>
  <c r="F123" i="3"/>
  <c r="F122" i="3"/>
  <c r="E122" i="3"/>
  <c r="E121" i="3"/>
  <c r="F121" i="3"/>
  <c r="F120" i="3"/>
  <c r="E120" i="3"/>
  <c r="E119" i="3"/>
  <c r="F119" i="3"/>
  <c r="F118" i="3"/>
  <c r="E118" i="3"/>
  <c r="E117" i="3"/>
  <c r="F117" i="3"/>
  <c r="F116" i="3"/>
  <c r="E116" i="3"/>
  <c r="E115" i="3"/>
  <c r="F115" i="3"/>
  <c r="F114" i="3"/>
  <c r="E114" i="3"/>
  <c r="E113" i="3"/>
  <c r="F113" i="3"/>
  <c r="D111" i="3"/>
  <c r="C111" i="3"/>
  <c r="E111" i="3"/>
  <c r="F111" i="3"/>
  <c r="F110" i="3"/>
  <c r="E110" i="3"/>
  <c r="F109" i="3"/>
  <c r="E109" i="3"/>
  <c r="F108" i="3"/>
  <c r="E108" i="3"/>
  <c r="E107" i="3"/>
  <c r="F107" i="3"/>
  <c r="F106" i="3"/>
  <c r="E106" i="3"/>
  <c r="E105" i="3"/>
  <c r="F105" i="3"/>
  <c r="F104" i="3"/>
  <c r="E104" i="3"/>
  <c r="E103" i="3"/>
  <c r="F103" i="3"/>
  <c r="F102" i="3"/>
  <c r="E102" i="3"/>
  <c r="E101" i="3"/>
  <c r="F101" i="3"/>
  <c r="F100" i="3"/>
  <c r="E100" i="3"/>
  <c r="D94" i="3"/>
  <c r="E94" i="3"/>
  <c r="C94" i="3"/>
  <c r="D93" i="3"/>
  <c r="E93" i="3"/>
  <c r="C93" i="3"/>
  <c r="F93" i="3"/>
  <c r="D92" i="3"/>
  <c r="E92" i="3"/>
  <c r="C92" i="3"/>
  <c r="D91" i="3"/>
  <c r="E91" i="3"/>
  <c r="C91" i="3"/>
  <c r="D90" i="3"/>
  <c r="E90" i="3"/>
  <c r="C90" i="3"/>
  <c r="D89" i="3"/>
  <c r="E89" i="3"/>
  <c r="C89" i="3"/>
  <c r="D88" i="3"/>
  <c r="E88" i="3"/>
  <c r="C88" i="3"/>
  <c r="D87" i="3"/>
  <c r="E87" i="3"/>
  <c r="C87" i="3"/>
  <c r="D86" i="3"/>
  <c r="E86" i="3"/>
  <c r="C86" i="3"/>
  <c r="D85" i="3"/>
  <c r="E85" i="3"/>
  <c r="C85" i="3"/>
  <c r="D84" i="3"/>
  <c r="E84" i="3"/>
  <c r="C84" i="3"/>
  <c r="D81" i="3"/>
  <c r="E81" i="3"/>
  <c r="C81" i="3"/>
  <c r="E80" i="3"/>
  <c r="F80" i="3"/>
  <c r="F79" i="3"/>
  <c r="E79" i="3"/>
  <c r="E78" i="3"/>
  <c r="F78" i="3"/>
  <c r="F77" i="3"/>
  <c r="E77" i="3"/>
  <c r="E76" i="3"/>
  <c r="F76" i="3"/>
  <c r="F75" i="3"/>
  <c r="E75" i="3"/>
  <c r="E74" i="3"/>
  <c r="F74" i="3"/>
  <c r="F73" i="3"/>
  <c r="E73" i="3"/>
  <c r="E72" i="3"/>
  <c r="F72" i="3"/>
  <c r="F71" i="3"/>
  <c r="E71" i="3"/>
  <c r="E70" i="3"/>
  <c r="F70" i="3"/>
  <c r="D68" i="3"/>
  <c r="C68" i="3"/>
  <c r="E68" i="3"/>
  <c r="F68" i="3"/>
  <c r="F67" i="3"/>
  <c r="E67" i="3"/>
  <c r="F66" i="3"/>
  <c r="E66" i="3"/>
  <c r="F65" i="3"/>
  <c r="E65" i="3"/>
  <c r="E64" i="3"/>
  <c r="F64" i="3"/>
  <c r="F63" i="3"/>
  <c r="E63" i="3"/>
  <c r="E62" i="3"/>
  <c r="F62" i="3"/>
  <c r="F61" i="3"/>
  <c r="E61" i="3"/>
  <c r="E60" i="3"/>
  <c r="F60" i="3"/>
  <c r="F59" i="3"/>
  <c r="E59" i="3"/>
  <c r="E58" i="3"/>
  <c r="F58" i="3"/>
  <c r="F57" i="3"/>
  <c r="E57" i="3"/>
  <c r="D51" i="3"/>
  <c r="E51" i="3"/>
  <c r="C51" i="3"/>
  <c r="F51" i="3"/>
  <c r="D50" i="3"/>
  <c r="E50" i="3"/>
  <c r="C50" i="3"/>
  <c r="F50" i="3"/>
  <c r="D49" i="3"/>
  <c r="E49" i="3"/>
  <c r="C49" i="3"/>
  <c r="F49" i="3"/>
  <c r="D48" i="3"/>
  <c r="E48" i="3"/>
  <c r="C48" i="3"/>
  <c r="F48" i="3"/>
  <c r="D47" i="3"/>
  <c r="E47" i="3"/>
  <c r="C47" i="3"/>
  <c r="F47" i="3"/>
  <c r="D46" i="3"/>
  <c r="E46" i="3"/>
  <c r="C46" i="3"/>
  <c r="F46" i="3"/>
  <c r="D45" i="3"/>
  <c r="E45" i="3"/>
  <c r="C45" i="3"/>
  <c r="F45" i="3"/>
  <c r="D44" i="3"/>
  <c r="E44" i="3"/>
  <c r="C44" i="3"/>
  <c r="F44" i="3"/>
  <c r="D43" i="3"/>
  <c r="E43" i="3"/>
  <c r="C43" i="3"/>
  <c r="F43" i="3"/>
  <c r="D42" i="3"/>
  <c r="E42" i="3"/>
  <c r="C42" i="3"/>
  <c r="F42" i="3"/>
  <c r="D41" i="3"/>
  <c r="E41" i="3"/>
  <c r="C41" i="3"/>
  <c r="F41" i="3"/>
  <c r="D38" i="3"/>
  <c r="E38" i="3"/>
  <c r="C38" i="3"/>
  <c r="F38" i="3"/>
  <c r="E37" i="3"/>
  <c r="F37" i="3"/>
  <c r="F36" i="3"/>
  <c r="E36" i="3"/>
  <c r="E35" i="3"/>
  <c r="F35" i="3"/>
  <c r="F34" i="3"/>
  <c r="E34" i="3"/>
  <c r="E33" i="3"/>
  <c r="F33" i="3"/>
  <c r="F32" i="3"/>
  <c r="E32" i="3"/>
  <c r="E31" i="3"/>
  <c r="F31" i="3"/>
  <c r="F30" i="3"/>
  <c r="E30" i="3"/>
  <c r="E29" i="3"/>
  <c r="F29" i="3"/>
  <c r="F28" i="3"/>
  <c r="E28" i="3"/>
  <c r="E27" i="3"/>
  <c r="F27" i="3"/>
  <c r="D25" i="3"/>
  <c r="C25" i="3"/>
  <c r="E25" i="3"/>
  <c r="F25" i="3"/>
  <c r="F24" i="3"/>
  <c r="E24" i="3"/>
  <c r="F23" i="3"/>
  <c r="E23" i="3"/>
  <c r="F22" i="3"/>
  <c r="E22" i="3"/>
  <c r="E21" i="3"/>
  <c r="F21" i="3"/>
  <c r="F20" i="3"/>
  <c r="E20" i="3"/>
  <c r="E19" i="3"/>
  <c r="F19" i="3"/>
  <c r="F18" i="3"/>
  <c r="E18" i="3"/>
  <c r="E17" i="3"/>
  <c r="F17" i="3"/>
  <c r="F16" i="3"/>
  <c r="E16" i="3"/>
  <c r="E15" i="3"/>
  <c r="F15" i="3"/>
  <c r="F14" i="3"/>
  <c r="E14" i="3"/>
  <c r="E49" i="2"/>
  <c r="F49" i="2"/>
  <c r="D46" i="2"/>
  <c r="C46" i="2"/>
  <c r="E46" i="2"/>
  <c r="F46" i="2"/>
  <c r="F45" i="2"/>
  <c r="E45" i="2"/>
  <c r="E44" i="2"/>
  <c r="F44" i="2"/>
  <c r="D39" i="2"/>
  <c r="C39" i="2"/>
  <c r="E39" i="2"/>
  <c r="F39" i="2"/>
  <c r="F38" i="2"/>
  <c r="E38" i="2"/>
  <c r="E37" i="2"/>
  <c r="F37" i="2"/>
  <c r="F36" i="2"/>
  <c r="E36" i="2"/>
  <c r="D31" i="2"/>
  <c r="E31" i="2"/>
  <c r="F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D19" i="2"/>
  <c r="C16" i="2"/>
  <c r="C19" i="2"/>
  <c r="F15" i="2"/>
  <c r="E15" i="2"/>
  <c r="E14" i="2"/>
  <c r="F14" i="2"/>
  <c r="E13" i="2"/>
  <c r="F13" i="2"/>
  <c r="E12" i="2"/>
  <c r="F12" i="2"/>
  <c r="D73" i="1"/>
  <c r="C73" i="1"/>
  <c r="E73" i="1"/>
  <c r="F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C65" i="1"/>
  <c r="F60" i="1"/>
  <c r="E60" i="1"/>
  <c r="E59" i="1"/>
  <c r="F59" i="1"/>
  <c r="D56" i="1"/>
  <c r="C56" i="1"/>
  <c r="E55" i="1"/>
  <c r="F55" i="1"/>
  <c r="E54" i="1"/>
  <c r="F54" i="1"/>
  <c r="E53" i="1"/>
  <c r="F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F40" i="1"/>
  <c r="E40" i="1"/>
  <c r="D38" i="1"/>
  <c r="E38" i="1"/>
  <c r="C38" i="1"/>
  <c r="C41" i="1"/>
  <c r="C43" i="1"/>
  <c r="E37" i="1"/>
  <c r="F37" i="1"/>
  <c r="F36" i="1"/>
  <c r="E36" i="1"/>
  <c r="E33" i="1"/>
  <c r="F33" i="1"/>
  <c r="F32" i="1"/>
  <c r="E32" i="1"/>
  <c r="F31" i="1"/>
  <c r="E31" i="1"/>
  <c r="D29" i="1"/>
  <c r="C29" i="1"/>
  <c r="E29" i="1"/>
  <c r="F29" i="1"/>
  <c r="F28" i="1"/>
  <c r="E28" i="1"/>
  <c r="F27" i="1"/>
  <c r="E27" i="1"/>
  <c r="F26" i="1"/>
  <c r="E26" i="1"/>
  <c r="E25" i="1"/>
  <c r="F25" i="1"/>
  <c r="D22" i="1"/>
  <c r="C22" i="1"/>
  <c r="E21" i="1"/>
  <c r="F21" i="1"/>
  <c r="E20" i="1"/>
  <c r="F20" i="1"/>
  <c r="E19" i="1"/>
  <c r="F19" i="1"/>
  <c r="F18" i="1"/>
  <c r="E18" i="1"/>
  <c r="E17" i="1"/>
  <c r="F17" i="1"/>
  <c r="E16" i="1"/>
  <c r="F16" i="1"/>
  <c r="E15" i="1"/>
  <c r="F15" i="1"/>
  <c r="F14" i="1"/>
  <c r="E14" i="1"/>
  <c r="E13" i="1"/>
  <c r="F13" i="1"/>
  <c r="D200" i="14"/>
  <c r="D285" i="14"/>
  <c r="F36" i="14"/>
  <c r="F129" i="14"/>
  <c r="D288" i="14"/>
  <c r="D199" i="14"/>
  <c r="D205" i="14"/>
  <c r="D274" i="14"/>
  <c r="F120" i="14"/>
  <c r="D286" i="14"/>
  <c r="D262" i="14"/>
  <c r="D272" i="14"/>
  <c r="C21" i="10"/>
  <c r="C24" i="5"/>
  <c r="C17" i="5"/>
  <c r="F24" i="4"/>
  <c r="F130" i="4"/>
  <c r="F88" i="6"/>
  <c r="D21" i="10"/>
  <c r="D22" i="10"/>
  <c r="E69" i="10"/>
  <c r="E19" i="2"/>
  <c r="F19" i="2"/>
  <c r="D33" i="2"/>
  <c r="C33" i="2"/>
  <c r="D75" i="1"/>
  <c r="E58" i="14"/>
  <c r="F58" i="14"/>
  <c r="C138" i="14"/>
  <c r="E137" i="14"/>
  <c r="F137" i="14"/>
  <c r="C172" i="14"/>
  <c r="C207" i="14"/>
  <c r="E171" i="14"/>
  <c r="F171" i="14"/>
  <c r="E294" i="14"/>
  <c r="F294" i="14"/>
  <c r="E299" i="14"/>
  <c r="F299" i="14"/>
  <c r="E109" i="19"/>
  <c r="E108" i="19"/>
  <c r="D176" i="14"/>
  <c r="E296" i="14"/>
  <c r="F296" i="14"/>
  <c r="E311" i="14"/>
  <c r="F311" i="14"/>
  <c r="D284" i="15"/>
  <c r="E43" i="15"/>
  <c r="D44" i="15"/>
  <c r="D52" i="3"/>
  <c r="D188" i="4"/>
  <c r="F192" i="6"/>
  <c r="F204" i="6"/>
  <c r="F112" i="7"/>
  <c r="F31" i="9"/>
  <c r="F17" i="13"/>
  <c r="E56" i="1"/>
  <c r="F56" i="1"/>
  <c r="E16" i="2"/>
  <c r="F16" i="2"/>
  <c r="D49" i="5"/>
  <c r="F193" i="6"/>
  <c r="F205" i="6"/>
  <c r="F59" i="7"/>
  <c r="E83" i="7"/>
  <c r="F113" i="7"/>
  <c r="F117" i="7"/>
  <c r="C121" i="7"/>
  <c r="D122" i="7"/>
  <c r="F29" i="8"/>
  <c r="C75" i="8"/>
  <c r="C19" i="9"/>
  <c r="C15" i="10"/>
  <c r="D24" i="10"/>
  <c r="D20" i="10"/>
  <c r="E48" i="10"/>
  <c r="E42" i="10"/>
  <c r="E33" i="11"/>
  <c r="E36" i="11"/>
  <c r="E38" i="11"/>
  <c r="E40" i="11"/>
  <c r="F37" i="12"/>
  <c r="F65" i="12"/>
  <c r="F22" i="13"/>
  <c r="F17" i="14"/>
  <c r="C48" i="14"/>
  <c r="E68" i="14"/>
  <c r="F68" i="14"/>
  <c r="E111" i="14"/>
  <c r="F111" i="14"/>
  <c r="E180" i="14"/>
  <c r="F180" i="14"/>
  <c r="E223" i="14"/>
  <c r="F223" i="14"/>
  <c r="C57" i="5"/>
  <c r="C62" i="5"/>
  <c r="F200" i="6"/>
  <c r="E22" i="1"/>
  <c r="F22" i="1"/>
  <c r="E61" i="1"/>
  <c r="F61" i="1"/>
  <c r="C52" i="3"/>
  <c r="E52" i="3"/>
  <c r="C95" i="3"/>
  <c r="E90" i="4"/>
  <c r="F90" i="4"/>
  <c r="E183" i="4"/>
  <c r="F183" i="4"/>
  <c r="D15" i="5"/>
  <c r="E17" i="5"/>
  <c r="C43" i="5"/>
  <c r="D77" i="5"/>
  <c r="D71" i="5"/>
  <c r="D41" i="1"/>
  <c r="E41" i="1"/>
  <c r="F41" i="1"/>
  <c r="C49" i="5"/>
  <c r="D53" i="5"/>
  <c r="F127" i="6"/>
  <c r="F128" i="6"/>
  <c r="F179" i="6"/>
  <c r="F180" i="6"/>
  <c r="F198" i="6"/>
  <c r="F202" i="6"/>
  <c r="F206" i="6"/>
  <c r="F35" i="7"/>
  <c r="F60" i="7"/>
  <c r="F71" i="7"/>
  <c r="F72" i="7"/>
  <c r="F107" i="7"/>
  <c r="F114" i="7"/>
  <c r="F118" i="7"/>
  <c r="C122" i="7"/>
  <c r="D43" i="8"/>
  <c r="E38" i="8"/>
  <c r="F38" i="8"/>
  <c r="F73" i="8"/>
  <c r="F39" i="9"/>
  <c r="E25" i="10"/>
  <c r="E27" i="10"/>
  <c r="D48" i="10"/>
  <c r="D42" i="10"/>
  <c r="D50" i="10"/>
  <c r="C80" i="10"/>
  <c r="C77" i="10"/>
  <c r="F16" i="12"/>
  <c r="F84" i="12"/>
  <c r="F99" i="12"/>
  <c r="F13" i="13"/>
  <c r="F227" i="14"/>
  <c r="F290" i="14"/>
  <c r="F33" i="11"/>
  <c r="H17" i="11"/>
  <c r="C37" i="14"/>
  <c r="F35" i="14"/>
  <c r="E135" i="14"/>
  <c r="F135" i="14"/>
  <c r="E158" i="14"/>
  <c r="F158" i="14"/>
  <c r="C192" i="14"/>
  <c r="C159" i="14"/>
  <c r="C193" i="14"/>
  <c r="E165" i="14"/>
  <c r="F165" i="14"/>
  <c r="E237" i="14"/>
  <c r="F237" i="14"/>
  <c r="D295" i="15"/>
  <c r="E33" i="15"/>
  <c r="C289" i="15"/>
  <c r="C65" i="15"/>
  <c r="C66" i="15"/>
  <c r="E66" i="15"/>
  <c r="C71" i="15"/>
  <c r="D95" i="3"/>
  <c r="E95" i="3"/>
  <c r="D95" i="4"/>
  <c r="E95" i="4"/>
  <c r="F95" i="4"/>
  <c r="F116" i="7"/>
  <c r="F120" i="7"/>
  <c r="F199" i="6"/>
  <c r="E201" i="6"/>
  <c r="F201" i="6"/>
  <c r="F203" i="6"/>
  <c r="C207" i="6"/>
  <c r="E207" i="6"/>
  <c r="F36" i="7"/>
  <c r="F108" i="7"/>
  <c r="F115" i="7"/>
  <c r="F119" i="7"/>
  <c r="C41" i="8"/>
  <c r="C59" i="10"/>
  <c r="C61" i="10"/>
  <c r="C57" i="10"/>
  <c r="E29" i="14"/>
  <c r="F29" i="14"/>
  <c r="F47" i="14"/>
  <c r="C261" i="14"/>
  <c r="C254" i="14"/>
  <c r="E188" i="14"/>
  <c r="F188" i="14"/>
  <c r="E21" i="15"/>
  <c r="D283" i="15"/>
  <c r="D330" i="15"/>
  <c r="E330" i="15"/>
  <c r="E326" i="15"/>
  <c r="D41" i="17"/>
  <c r="E39" i="17"/>
  <c r="E41" i="17"/>
  <c r="F41" i="17"/>
  <c r="D109" i="19"/>
  <c r="D108" i="19"/>
  <c r="D300" i="14"/>
  <c r="F53" i="14"/>
  <c r="F67" i="14"/>
  <c r="F89" i="14"/>
  <c r="C102" i="14"/>
  <c r="C190" i="14"/>
  <c r="E65" i="15"/>
  <c r="E189" i="15"/>
  <c r="C235" i="15"/>
  <c r="C253" i="15"/>
  <c r="C254" i="15"/>
  <c r="E245" i="15"/>
  <c r="C283" i="15"/>
  <c r="C22" i="15"/>
  <c r="E22" i="15"/>
  <c r="C180" i="15"/>
  <c r="C168" i="15"/>
  <c r="C145" i="15"/>
  <c r="E260" i="15"/>
  <c r="C41" i="17"/>
  <c r="C60" i="14"/>
  <c r="F101" i="14"/>
  <c r="F124" i="14"/>
  <c r="F136" i="14"/>
  <c r="F170" i="14"/>
  <c r="C181" i="14"/>
  <c r="C199" i="14"/>
  <c r="E226" i="14"/>
  <c r="F226" i="14"/>
  <c r="F238" i="14"/>
  <c r="C266" i="14"/>
  <c r="C277" i="14"/>
  <c r="F295" i="14"/>
  <c r="D294" i="15"/>
  <c r="E39" i="15"/>
  <c r="E42" i="15"/>
  <c r="E70" i="15"/>
  <c r="E75" i="15"/>
  <c r="C234" i="15"/>
  <c r="F20" i="17"/>
  <c r="F40" i="17"/>
  <c r="C215" i="14"/>
  <c r="F189" i="14"/>
  <c r="C283" i="14"/>
  <c r="E283" i="14"/>
  <c r="F283" i="14"/>
  <c r="C205" i="14"/>
  <c r="F203" i="14"/>
  <c r="D90" i="14"/>
  <c r="D160" i="14"/>
  <c r="D125" i="14"/>
  <c r="D209" i="14"/>
  <c r="D104" i="14"/>
  <c r="D174" i="14"/>
  <c r="D254" i="14"/>
  <c r="F94" i="14"/>
  <c r="C146" i="14"/>
  <c r="F204" i="14"/>
  <c r="C214" i="14"/>
  <c r="C304" i="14"/>
  <c r="F250" i="14"/>
  <c r="C262" i="14"/>
  <c r="C306" i="14"/>
  <c r="C294" i="15"/>
  <c r="E294" i="15"/>
  <c r="C44" i="15"/>
  <c r="E55" i="15"/>
  <c r="C76" i="15"/>
  <c r="C77" i="15"/>
  <c r="C259" i="15"/>
  <c r="C263" i="15"/>
  <c r="C246" i="15"/>
  <c r="E32" i="15"/>
  <c r="E60" i="15"/>
  <c r="E139" i="15"/>
  <c r="C163" i="15"/>
  <c r="E163" i="15"/>
  <c r="E188" i="15"/>
  <c r="D210" i="15"/>
  <c r="D217" i="15"/>
  <c r="E218" i="15"/>
  <c r="E233" i="15"/>
  <c r="D239" i="15"/>
  <c r="C242" i="15"/>
  <c r="E242" i="15"/>
  <c r="D243" i="15"/>
  <c r="E243" i="15"/>
  <c r="E251" i="15"/>
  <c r="C22" i="16"/>
  <c r="E22" i="19"/>
  <c r="D34" i="19"/>
  <c r="D54" i="19"/>
  <c r="D102" i="19"/>
  <c r="D103" i="19"/>
  <c r="C109" i="19"/>
  <c r="E111" i="19"/>
  <c r="D138" i="14"/>
  <c r="D139" i="14"/>
  <c r="D267" i="14"/>
  <c r="D277" i="14"/>
  <c r="D306" i="14"/>
  <c r="E306" i="14"/>
  <c r="E151" i="15"/>
  <c r="C175" i="15"/>
  <c r="E175" i="15"/>
  <c r="E195" i="15"/>
  <c r="E215" i="15"/>
  <c r="C217" i="15"/>
  <c r="C241" i="15"/>
  <c r="D222" i="15"/>
  <c r="D223" i="15"/>
  <c r="C239" i="15"/>
  <c r="C261" i="15"/>
  <c r="C302" i="15"/>
  <c r="C303" i="15"/>
  <c r="D303" i="15"/>
  <c r="E30" i="19"/>
  <c r="E36" i="19"/>
  <c r="E40" i="19"/>
  <c r="E46" i="19"/>
  <c r="D111" i="19"/>
  <c r="D105" i="14"/>
  <c r="D206" i="14"/>
  <c r="D210" i="14"/>
  <c r="D280" i="14"/>
  <c r="E324" i="15"/>
  <c r="E19" i="17"/>
  <c r="F19" i="17"/>
  <c r="E43" i="17"/>
  <c r="D30" i="19"/>
  <c r="E33" i="19"/>
  <c r="D36" i="19"/>
  <c r="D40" i="19"/>
  <c r="E101" i="19"/>
  <c r="E103" i="19"/>
  <c r="D62" i="14"/>
  <c r="D140" i="14"/>
  <c r="D141" i="14"/>
  <c r="D215" i="14"/>
  <c r="D261" i="14"/>
  <c r="D156" i="15"/>
  <c r="E221" i="15"/>
  <c r="D21" i="14"/>
  <c r="D126" i="14"/>
  <c r="D127" i="14"/>
  <c r="D190" i="14"/>
  <c r="E190" i="14"/>
  <c r="F207" i="14"/>
  <c r="E207" i="14"/>
  <c r="C208" i="14"/>
  <c r="D91" i="14"/>
  <c r="D161" i="14"/>
  <c r="D211" i="14"/>
  <c r="C181" i="15"/>
  <c r="C169" i="15"/>
  <c r="F159" i="14"/>
  <c r="E159" i="14"/>
  <c r="C125" i="14"/>
  <c r="C160" i="14"/>
  <c r="C90" i="14"/>
  <c r="E48" i="14"/>
  <c r="F48" i="14"/>
  <c r="D255" i="14"/>
  <c r="E255" i="14"/>
  <c r="F255" i="14"/>
  <c r="E215" i="14"/>
  <c r="E46" i="17"/>
  <c r="F46" i="17"/>
  <c r="F43" i="17"/>
  <c r="D270" i="14"/>
  <c r="C216" i="14"/>
  <c r="E214" i="14"/>
  <c r="F214" i="14"/>
  <c r="E199" i="14"/>
  <c r="F199" i="14"/>
  <c r="C103" i="14"/>
  <c r="E102" i="14"/>
  <c r="F102" i="14"/>
  <c r="C263" i="14"/>
  <c r="C194" i="14"/>
  <c r="C195" i="14"/>
  <c r="E37" i="14"/>
  <c r="F37" i="14"/>
  <c r="D216" i="14"/>
  <c r="E283" i="15"/>
  <c r="E48" i="19"/>
  <c r="E38" i="19"/>
  <c r="E113" i="19"/>
  <c r="E56" i="19"/>
  <c r="D268" i="14"/>
  <c r="D271" i="14"/>
  <c r="D263" i="14"/>
  <c r="E263" i="14"/>
  <c r="E261" i="14"/>
  <c r="F261" i="14"/>
  <c r="E280" i="14"/>
  <c r="F280" i="14"/>
  <c r="D106" i="14"/>
  <c r="D287" i="14"/>
  <c r="D279" i="14"/>
  <c r="D284" i="14"/>
  <c r="E284" i="14"/>
  <c r="E277" i="14"/>
  <c r="E210" i="15"/>
  <c r="D234" i="15"/>
  <c r="E234" i="15"/>
  <c r="D211" i="15"/>
  <c r="E205" i="14"/>
  <c r="F205" i="14"/>
  <c r="F36" i="11"/>
  <c r="F38" i="11"/>
  <c r="F40" i="11"/>
  <c r="D24" i="5"/>
  <c r="D20" i="5"/>
  <c r="D17" i="5"/>
  <c r="C33" i="9"/>
  <c r="E19" i="9"/>
  <c r="F19" i="9"/>
  <c r="C41" i="2"/>
  <c r="E239" i="15"/>
  <c r="E160" i="14"/>
  <c r="F190" i="14"/>
  <c r="F52" i="3"/>
  <c r="C295" i="15"/>
  <c r="E295" i="15"/>
  <c r="E122" i="7"/>
  <c r="E41" i="8"/>
  <c r="F41" i="8"/>
  <c r="E254" i="14"/>
  <c r="F254" i="14"/>
  <c r="E181" i="14"/>
  <c r="F181" i="14"/>
  <c r="E156" i="15"/>
  <c r="D157" i="15"/>
  <c r="D63" i="14"/>
  <c r="D113" i="19"/>
  <c r="D56" i="19"/>
  <c r="D48" i="19"/>
  <c r="D38" i="19"/>
  <c r="D306" i="15"/>
  <c r="D246" i="15"/>
  <c r="E246" i="15"/>
  <c r="E222" i="15"/>
  <c r="E110" i="19"/>
  <c r="E53" i="19"/>
  <c r="E45" i="19"/>
  <c r="E39" i="19"/>
  <c r="E35" i="19"/>
  <c r="E29" i="19"/>
  <c r="E217" i="15"/>
  <c r="D241" i="15"/>
  <c r="E241" i="15"/>
  <c r="C258" i="15"/>
  <c r="C101" i="15"/>
  <c r="C97" i="15"/>
  <c r="C86" i="15"/>
  <c r="C100" i="15"/>
  <c r="C96" i="15"/>
  <c r="C102" i="15"/>
  <c r="C89" i="15"/>
  <c r="C85" i="15"/>
  <c r="C99" i="15"/>
  <c r="C88" i="15"/>
  <c r="C83" i="15"/>
  <c r="C95" i="15"/>
  <c r="C84" i="15"/>
  <c r="C98" i="15"/>
  <c r="C87" i="15"/>
  <c r="E262" i="14"/>
  <c r="F262" i="14"/>
  <c r="E146" i="14"/>
  <c r="F146" i="14"/>
  <c r="C287" i="14"/>
  <c r="F277" i="14"/>
  <c r="C284" i="14"/>
  <c r="C61" i="14"/>
  <c r="E60" i="14"/>
  <c r="F60" i="14"/>
  <c r="E112" i="5"/>
  <c r="E111" i="5"/>
  <c r="E28" i="5"/>
  <c r="C17" i="10"/>
  <c r="C28" i="10"/>
  <c r="C24" i="10"/>
  <c r="C20" i="10"/>
  <c r="D258" i="15"/>
  <c r="D98" i="15"/>
  <c r="D87" i="15"/>
  <c r="E87" i="15"/>
  <c r="D83" i="15"/>
  <c r="D101" i="15"/>
  <c r="D97" i="15"/>
  <c r="E97" i="15"/>
  <c r="D86" i="15"/>
  <c r="E86" i="15"/>
  <c r="D96" i="15"/>
  <c r="D85" i="15"/>
  <c r="E85" i="15"/>
  <c r="D99" i="15"/>
  <c r="E99" i="15"/>
  <c r="D88" i="15"/>
  <c r="E88" i="15"/>
  <c r="E44" i="15"/>
  <c r="D100" i="15"/>
  <c r="D89" i="15"/>
  <c r="E89" i="15"/>
  <c r="D95" i="15"/>
  <c r="D84" i="15"/>
  <c r="C173" i="14"/>
  <c r="E172" i="14"/>
  <c r="F172" i="14"/>
  <c r="E33" i="2"/>
  <c r="F33" i="2"/>
  <c r="D41" i="2"/>
  <c r="C28" i="5"/>
  <c r="C112" i="5"/>
  <c r="C111" i="5"/>
  <c r="E90" i="14"/>
  <c r="E43" i="8"/>
  <c r="E125" i="14"/>
  <c r="F215" i="14"/>
  <c r="F207" i="6"/>
  <c r="F122" i="7"/>
  <c r="F95" i="3"/>
  <c r="C282" i="14"/>
  <c r="C43" i="8"/>
  <c r="E121" i="7"/>
  <c r="F121" i="7"/>
  <c r="D43" i="1"/>
  <c r="E43" i="1"/>
  <c r="F43" i="1"/>
  <c r="E47" i="19"/>
  <c r="E37" i="19"/>
  <c r="E112" i="19"/>
  <c r="E55" i="19"/>
  <c r="D235" i="15"/>
  <c r="E235" i="15"/>
  <c r="E211" i="15"/>
  <c r="D162" i="14"/>
  <c r="D102" i="15"/>
  <c r="E102" i="15"/>
  <c r="E96" i="15"/>
  <c r="D92" i="14"/>
  <c r="F263" i="14"/>
  <c r="F90" i="14"/>
  <c r="C70" i="10"/>
  <c r="C72" i="10"/>
  <c r="C69" i="10"/>
  <c r="C22" i="10"/>
  <c r="E84" i="15"/>
  <c r="D90" i="15"/>
  <c r="E83" i="15"/>
  <c r="D48" i="2"/>
  <c r="E41" i="2"/>
  <c r="E173" i="14"/>
  <c r="F173" i="14"/>
  <c r="E258" i="15"/>
  <c r="D112" i="5"/>
  <c r="D111" i="5"/>
  <c r="D28" i="5"/>
  <c r="D291" i="14"/>
  <c r="D289" i="14"/>
  <c r="E287" i="14"/>
  <c r="D322" i="14"/>
  <c r="F43" i="8"/>
  <c r="E100" i="15"/>
  <c r="E101" i="15"/>
  <c r="F284" i="14"/>
  <c r="C103" i="15"/>
  <c r="F125" i="14"/>
  <c r="D103" i="15"/>
  <c r="E95" i="15"/>
  <c r="E157" i="15"/>
  <c r="C48" i="2"/>
  <c r="F41" i="2"/>
  <c r="C41" i="9"/>
  <c r="E33" i="9"/>
  <c r="F33" i="9"/>
  <c r="E103" i="14"/>
  <c r="F103" i="14"/>
  <c r="C281" i="14"/>
  <c r="C99" i="5"/>
  <c r="C101" i="5"/>
  <c r="C98" i="5"/>
  <c r="C22" i="5"/>
  <c r="E99" i="5"/>
  <c r="E101" i="5"/>
  <c r="E98" i="5"/>
  <c r="E22" i="5"/>
  <c r="C209" i="14"/>
  <c r="C104" i="14"/>
  <c r="C139" i="14"/>
  <c r="E61" i="14"/>
  <c r="F61" i="14"/>
  <c r="C174" i="14"/>
  <c r="F287" i="14"/>
  <c r="C264" i="15"/>
  <c r="C266" i="15"/>
  <c r="C267" i="15"/>
  <c r="D310" i="15"/>
  <c r="D304" i="14"/>
  <c r="D273" i="14"/>
  <c r="E208" i="14"/>
  <c r="F208" i="14"/>
  <c r="F160" i="14"/>
  <c r="E98" i="15"/>
  <c r="C90" i="15"/>
  <c r="C91" i="15"/>
  <c r="C105" i="15"/>
  <c r="E216" i="14"/>
  <c r="F216" i="14"/>
  <c r="C48" i="9"/>
  <c r="F41" i="9"/>
  <c r="E41" i="9"/>
  <c r="D324" i="14"/>
  <c r="D113" i="14"/>
  <c r="E174" i="14"/>
  <c r="F174" i="14"/>
  <c r="E209" i="14"/>
  <c r="F209" i="14"/>
  <c r="D183" i="14"/>
  <c r="D323" i="14"/>
  <c r="E103" i="15"/>
  <c r="E48" i="2"/>
  <c r="F48" i="2"/>
  <c r="E304" i="14"/>
  <c r="F304" i="14"/>
  <c r="E104" i="14"/>
  <c r="F104" i="14"/>
  <c r="D99" i="5"/>
  <c r="D101" i="5"/>
  <c r="D98" i="5"/>
  <c r="D22" i="5"/>
  <c r="E90" i="15"/>
  <c r="F139" i="14"/>
  <c r="E139" i="14"/>
  <c r="D305" i="14"/>
  <c r="D148" i="14"/>
  <c r="D91" i="15"/>
  <c r="F48" i="9"/>
  <c r="E48" i="9"/>
  <c r="D105" i="15"/>
  <c r="E105" i="15"/>
  <c r="E91" i="15"/>
  <c r="D325" i="14"/>
  <c r="D309" i="14"/>
  <c r="D310" i="14"/>
  <c r="D312" i="14"/>
  <c r="C269" i="15"/>
  <c r="C268" i="15"/>
  <c r="D313" i="14"/>
  <c r="E303" i="15"/>
  <c r="C306" i="15"/>
  <c r="E22" i="10"/>
  <c r="E21" i="10"/>
  <c r="D247" i="15"/>
  <c r="E223" i="15"/>
  <c r="C126" i="15"/>
  <c r="C115" i="15"/>
  <c r="C125" i="15"/>
  <c r="C114" i="15"/>
  <c r="C113" i="15"/>
  <c r="C127" i="15"/>
  <c r="C112" i="15"/>
  <c r="C122" i="15"/>
  <c r="C111" i="15"/>
  <c r="C121" i="15"/>
  <c r="C110" i="15"/>
  <c r="C116" i="15"/>
  <c r="C124" i="15"/>
  <c r="C109" i="15"/>
  <c r="C117" i="15"/>
  <c r="C123" i="15"/>
  <c r="E302" i="15"/>
  <c r="C75" i="1"/>
  <c r="E188" i="4"/>
  <c r="F188" i="4"/>
  <c r="E140" i="5"/>
  <c r="E139" i="5"/>
  <c r="E138" i="5"/>
  <c r="E137" i="5"/>
  <c r="E136" i="5"/>
  <c r="E135" i="5"/>
  <c r="D153" i="5"/>
  <c r="D152" i="5"/>
  <c r="D155" i="5"/>
  <c r="D157" i="5"/>
  <c r="D156" i="5"/>
  <c r="D154" i="5"/>
  <c r="E154" i="5"/>
  <c r="E157" i="5"/>
  <c r="E156" i="5"/>
  <c r="E155" i="5"/>
  <c r="E153" i="5"/>
  <c r="E152" i="5"/>
  <c r="D49" i="14"/>
  <c r="E138" i="14"/>
  <c r="F138" i="14"/>
  <c r="F39" i="17"/>
  <c r="C284" i="15"/>
  <c r="E284" i="15"/>
  <c r="C247" i="15"/>
  <c r="E75" i="1"/>
  <c r="E65" i="1"/>
  <c r="F65" i="1"/>
  <c r="F81" i="3"/>
  <c r="F84" i="3"/>
  <c r="F85" i="3"/>
  <c r="F86" i="3"/>
  <c r="F87" i="3"/>
  <c r="F88" i="3"/>
  <c r="F89" i="3"/>
  <c r="F90" i="3"/>
  <c r="F91" i="3"/>
  <c r="F92" i="3"/>
  <c r="F94" i="3"/>
  <c r="F153" i="3"/>
  <c r="C20" i="5"/>
  <c r="C21" i="5"/>
  <c r="E21" i="5"/>
  <c r="E20" i="5"/>
  <c r="C139" i="5"/>
  <c r="C140" i="5"/>
  <c r="C137" i="5"/>
  <c r="C135" i="5"/>
  <c r="C138" i="5"/>
  <c r="C136" i="5"/>
  <c r="D136" i="5"/>
  <c r="D135" i="5"/>
  <c r="D137" i="5"/>
  <c r="D140" i="5"/>
  <c r="D139" i="5"/>
  <c r="D138" i="5"/>
  <c r="C152" i="5"/>
  <c r="C154" i="5"/>
  <c r="C153" i="5"/>
  <c r="C156" i="5"/>
  <c r="C155" i="5"/>
  <c r="C157" i="5"/>
  <c r="F38" i="1"/>
  <c r="E57" i="5"/>
  <c r="E62" i="5"/>
  <c r="E49" i="5"/>
  <c r="F140" i="6"/>
  <c r="F167" i="6"/>
  <c r="F75" i="12"/>
  <c r="F92" i="12"/>
  <c r="E43" i="5"/>
  <c r="E208" i="6"/>
  <c r="D69" i="10"/>
  <c r="F50" i="12"/>
  <c r="C208" i="6"/>
  <c r="F47" i="7"/>
  <c r="F48" i="7"/>
  <c r="E95" i="7"/>
  <c r="E96" i="7"/>
  <c r="E56" i="8"/>
  <c r="F56" i="8"/>
  <c r="D65" i="8"/>
  <c r="E65" i="8"/>
  <c r="F65" i="8"/>
  <c r="F61" i="8"/>
  <c r="E16" i="9"/>
  <c r="F16" i="9"/>
  <c r="E24" i="10"/>
  <c r="E20" i="10"/>
  <c r="C31" i="11"/>
  <c r="I31" i="11"/>
  <c r="C33" i="11"/>
  <c r="E30" i="12"/>
  <c r="F55" i="12"/>
  <c r="F70" i="12"/>
  <c r="F73" i="12"/>
  <c r="F20" i="14"/>
  <c r="C21" i="14"/>
  <c r="F23" i="14"/>
  <c r="E24" i="14"/>
  <c r="F24" i="14"/>
  <c r="C31" i="14"/>
  <c r="F30" i="14"/>
  <c r="E44" i="14"/>
  <c r="F44" i="14"/>
  <c r="E52" i="14"/>
  <c r="F52" i="14"/>
  <c r="F76" i="14"/>
  <c r="F85" i="14"/>
  <c r="F88" i="14"/>
  <c r="F95" i="14"/>
  <c r="E109" i="14"/>
  <c r="F123" i="14"/>
  <c r="F144" i="14"/>
  <c r="F145" i="14"/>
  <c r="E145" i="14"/>
  <c r="F164" i="14"/>
  <c r="F109" i="14"/>
  <c r="E191" i="14"/>
  <c r="C200" i="14"/>
  <c r="C206" i="14"/>
  <c r="E230" i="14"/>
  <c r="F230" i="14"/>
  <c r="C239" i="14"/>
  <c r="C267" i="14"/>
  <c r="C278" i="14"/>
  <c r="C285" i="14"/>
  <c r="E307" i="14"/>
  <c r="F307" i="14"/>
  <c r="E37" i="15"/>
  <c r="D71" i="15"/>
  <c r="C65" i="16"/>
  <c r="C114" i="16"/>
  <c r="C116" i="16"/>
  <c r="C119" i="16"/>
  <c r="C123" i="16"/>
  <c r="C103" i="19"/>
  <c r="F191" i="14"/>
  <c r="F198" i="14"/>
  <c r="C269" i="14"/>
  <c r="C264" i="14"/>
  <c r="C274" i="14"/>
  <c r="D289" i="15"/>
  <c r="E289" i="15"/>
  <c r="D144" i="15"/>
  <c r="D261" i="15"/>
  <c r="E261" i="15"/>
  <c r="D229" i="15"/>
  <c r="E229" i="15"/>
  <c r="D240" i="15"/>
  <c r="D244" i="15"/>
  <c r="E244" i="15"/>
  <c r="E265" i="15"/>
  <c r="D316" i="15"/>
  <c r="C49" i="16"/>
  <c r="E25" i="17"/>
  <c r="F25" i="17"/>
  <c r="E36" i="17"/>
  <c r="F36" i="17"/>
  <c r="C33" i="19"/>
  <c r="D33" i="19"/>
  <c r="E34" i="19"/>
  <c r="C22" i="19"/>
  <c r="D22" i="19"/>
  <c r="C23" i="19"/>
  <c r="D192" i="14"/>
  <c r="D193" i="14"/>
  <c r="E192" i="14"/>
  <c r="F192" i="14"/>
  <c r="D53" i="19"/>
  <c r="D29" i="19"/>
  <c r="D35" i="19"/>
  <c r="D39" i="19"/>
  <c r="D45" i="19"/>
  <c r="D110" i="19"/>
  <c r="C46" i="19"/>
  <c r="C54" i="19"/>
  <c r="C30" i="19"/>
  <c r="C40" i="19"/>
  <c r="C111" i="19"/>
  <c r="C36" i="19"/>
  <c r="C45" i="19"/>
  <c r="C110" i="19"/>
  <c r="C29" i="19"/>
  <c r="C53" i="19"/>
  <c r="C35" i="19"/>
  <c r="C39" i="19"/>
  <c r="E240" i="15"/>
  <c r="D252" i="15"/>
  <c r="C300" i="14"/>
  <c r="E264" i="14"/>
  <c r="F264" i="14"/>
  <c r="C265" i="14"/>
  <c r="D253" i="15"/>
  <c r="E253" i="15"/>
  <c r="E285" i="14"/>
  <c r="F285" i="14"/>
  <c r="C286" i="14"/>
  <c r="F267" i="14"/>
  <c r="C268" i="14"/>
  <c r="C270" i="14"/>
  <c r="E267" i="14"/>
  <c r="C271" i="14"/>
  <c r="C32" i="14"/>
  <c r="E31" i="14"/>
  <c r="F31" i="14"/>
  <c r="F208" i="6"/>
  <c r="C158" i="5"/>
  <c r="E200" i="14"/>
  <c r="F200" i="14"/>
  <c r="D50" i="14"/>
  <c r="E158" i="5"/>
  <c r="D158" i="5"/>
  <c r="E141" i="5"/>
  <c r="C128" i="15"/>
  <c r="C129" i="15"/>
  <c r="C131" i="15"/>
  <c r="C271" i="15"/>
  <c r="D320" i="15"/>
  <c r="E320" i="15"/>
  <c r="E316" i="15"/>
  <c r="D145" i="15"/>
  <c r="D168" i="15"/>
  <c r="E168" i="15"/>
  <c r="E144" i="15"/>
  <c r="D180" i="15"/>
  <c r="E180" i="15"/>
  <c r="E274" i="14"/>
  <c r="F274" i="14"/>
  <c r="E269" i="14"/>
  <c r="F269" i="14"/>
  <c r="C272" i="14"/>
  <c r="E71" i="15"/>
  <c r="D76" i="15"/>
  <c r="E278" i="14"/>
  <c r="C288" i="14"/>
  <c r="F278" i="14"/>
  <c r="C279" i="14"/>
  <c r="E239" i="14"/>
  <c r="F239" i="14"/>
  <c r="C126" i="14"/>
  <c r="C91" i="14"/>
  <c r="C49" i="14"/>
  <c r="C161" i="14"/>
  <c r="C196" i="14"/>
  <c r="C36" i="11"/>
  <c r="C38" i="11"/>
  <c r="C40" i="11"/>
  <c r="I33" i="11"/>
  <c r="I36" i="11"/>
  <c r="I38" i="11"/>
  <c r="I40" i="11"/>
  <c r="H33" i="11"/>
  <c r="H36" i="11"/>
  <c r="H38" i="11"/>
  <c r="H40" i="11"/>
  <c r="H31" i="11"/>
  <c r="D75" i="8"/>
  <c r="E75" i="8"/>
  <c r="F75" i="8"/>
  <c r="D141" i="5"/>
  <c r="C141" i="5"/>
  <c r="E21" i="14"/>
  <c r="F21" i="14"/>
  <c r="F75" i="1"/>
  <c r="E247" i="15"/>
  <c r="C310" i="15"/>
  <c r="E310" i="15"/>
  <c r="E306" i="15"/>
  <c r="E206" i="14"/>
  <c r="F206" i="14"/>
  <c r="D314" i="14"/>
  <c r="D315" i="14"/>
  <c r="D251" i="14"/>
  <c r="D256" i="14"/>
  <c r="D257" i="14"/>
  <c r="C92" i="14"/>
  <c r="E91" i="14"/>
  <c r="F91" i="14"/>
  <c r="D70" i="14"/>
  <c r="F268" i="14"/>
  <c r="E268" i="14"/>
  <c r="E286" i="14"/>
  <c r="F286" i="14"/>
  <c r="D254" i="15"/>
  <c r="E254" i="15"/>
  <c r="E252" i="15"/>
  <c r="D37" i="19"/>
  <c r="D55" i="19"/>
  <c r="D47" i="19"/>
  <c r="D112" i="19"/>
  <c r="D318" i="14"/>
  <c r="E161" i="14"/>
  <c r="F161" i="14"/>
  <c r="C162" i="14"/>
  <c r="C50" i="14"/>
  <c r="E50" i="14"/>
  <c r="C127" i="14"/>
  <c r="E126" i="14"/>
  <c r="F126" i="14"/>
  <c r="E279" i="14"/>
  <c r="F279" i="14"/>
  <c r="E288" i="14"/>
  <c r="F288" i="14"/>
  <c r="C291" i="14"/>
  <c r="C289" i="14"/>
  <c r="D259" i="15"/>
  <c r="D77" i="15"/>
  <c r="E76" i="15"/>
  <c r="E272" i="14"/>
  <c r="F272" i="14"/>
  <c r="E145" i="15"/>
  <c r="D181" i="15"/>
  <c r="E181" i="15"/>
  <c r="D169" i="15"/>
  <c r="E169" i="15"/>
  <c r="E49" i="14"/>
  <c r="F49" i="14"/>
  <c r="E32" i="14"/>
  <c r="C140" i="14"/>
  <c r="F32" i="14"/>
  <c r="C175" i="14"/>
  <c r="C105" i="14"/>
  <c r="C210" i="14"/>
  <c r="C62" i="14"/>
  <c r="C273" i="14"/>
  <c r="E271" i="14"/>
  <c r="F271" i="14"/>
  <c r="F270" i="14"/>
  <c r="E270" i="14"/>
  <c r="F300" i="14"/>
  <c r="E300" i="14"/>
  <c r="C112" i="19"/>
  <c r="C47" i="19"/>
  <c r="C55" i="19"/>
  <c r="C37" i="19"/>
  <c r="C56" i="19"/>
  <c r="C38" i="19"/>
  <c r="C48" i="19"/>
  <c r="C113" i="19"/>
  <c r="D266" i="14"/>
  <c r="D194" i="14"/>
  <c r="D282" i="14"/>
  <c r="E193" i="14"/>
  <c r="F193" i="14"/>
  <c r="E282" i="14"/>
  <c r="F282" i="14"/>
  <c r="D281" i="14"/>
  <c r="E281" i="14"/>
  <c r="F281" i="14"/>
  <c r="E194" i="14"/>
  <c r="F194" i="14"/>
  <c r="D195" i="14"/>
  <c r="E195" i="14"/>
  <c r="F195" i="14"/>
  <c r="D196" i="14"/>
  <c r="E273" i="14"/>
  <c r="F273" i="14"/>
  <c r="E210" i="14"/>
  <c r="F210" i="14"/>
  <c r="E175" i="14"/>
  <c r="C176" i="14"/>
  <c r="F175" i="14"/>
  <c r="F140" i="14"/>
  <c r="E140" i="14"/>
  <c r="C141" i="14"/>
  <c r="D263" i="15"/>
  <c r="E259" i="15"/>
  <c r="C305" i="14"/>
  <c r="E291" i="14"/>
  <c r="F291" i="14"/>
  <c r="C148" i="14"/>
  <c r="E127" i="14"/>
  <c r="F127" i="14"/>
  <c r="C197" i="14"/>
  <c r="E162" i="14"/>
  <c r="C183" i="14"/>
  <c r="F162" i="14"/>
  <c r="C323" i="14"/>
  <c r="E92" i="14"/>
  <c r="F92" i="14"/>
  <c r="D265" i="14"/>
  <c r="E265" i="14"/>
  <c r="F265" i="14"/>
  <c r="E266" i="14"/>
  <c r="F266" i="14"/>
  <c r="E62" i="14"/>
  <c r="C63" i="14"/>
  <c r="F62" i="14"/>
  <c r="C106" i="14"/>
  <c r="F105" i="14"/>
  <c r="E105" i="14"/>
  <c r="D127" i="15"/>
  <c r="E127" i="15"/>
  <c r="D123" i="15"/>
  <c r="E123" i="15"/>
  <c r="D122" i="15"/>
  <c r="D121" i="15"/>
  <c r="D124" i="15"/>
  <c r="E124" i="15"/>
  <c r="E77" i="15"/>
  <c r="D112" i="15"/>
  <c r="E112" i="15"/>
  <c r="D126" i="15"/>
  <c r="E126" i="15"/>
  <c r="D115" i="15"/>
  <c r="E115" i="15"/>
  <c r="D111" i="15"/>
  <c r="E111" i="15"/>
  <c r="D125" i="15"/>
  <c r="E125" i="15"/>
  <c r="D114" i="15"/>
  <c r="E114" i="15"/>
  <c r="D110" i="15"/>
  <c r="D113" i="15"/>
  <c r="E113" i="15"/>
  <c r="D109" i="15"/>
  <c r="E289" i="14"/>
  <c r="F289" i="14"/>
  <c r="F50" i="14"/>
  <c r="C70" i="14"/>
  <c r="E110" i="15"/>
  <c r="D116" i="15"/>
  <c r="E116" i="15"/>
  <c r="E122" i="15"/>
  <c r="D128" i="15"/>
  <c r="E128" i="15"/>
  <c r="E323" i="14"/>
  <c r="F323" i="14"/>
  <c r="E183" i="14"/>
  <c r="F183" i="14"/>
  <c r="C309" i="14"/>
  <c r="E305" i="14"/>
  <c r="F305" i="14"/>
  <c r="E263" i="15"/>
  <c r="D264" i="15"/>
  <c r="D117" i="15"/>
  <c r="E109" i="15"/>
  <c r="E70" i="14"/>
  <c r="F70" i="14"/>
  <c r="D129" i="15"/>
  <c r="E129" i="15"/>
  <c r="E121" i="15"/>
  <c r="E106" i="14"/>
  <c r="F106" i="14"/>
  <c r="E63" i="14"/>
  <c r="F63" i="14"/>
  <c r="C113" i="14"/>
  <c r="C324" i="14"/>
  <c r="E148" i="14"/>
  <c r="F148" i="14"/>
  <c r="C322" i="14"/>
  <c r="C211" i="14"/>
  <c r="E141" i="14"/>
  <c r="F141" i="14"/>
  <c r="E176" i="14"/>
  <c r="F176" i="14"/>
  <c r="E196" i="14"/>
  <c r="F196" i="14"/>
  <c r="D197" i="14"/>
  <c r="E197" i="14"/>
  <c r="F197" i="14"/>
  <c r="E324" i="14"/>
  <c r="C325" i="14"/>
  <c r="F324" i="14"/>
  <c r="D131" i="15"/>
  <c r="E131" i="15"/>
  <c r="E117" i="15"/>
  <c r="D266" i="15"/>
  <c r="E264" i="15"/>
  <c r="E309" i="14"/>
  <c r="C310" i="14"/>
  <c r="F309" i="14"/>
  <c r="E211" i="14"/>
  <c r="F211" i="14"/>
  <c r="E322" i="14"/>
  <c r="F322" i="14"/>
  <c r="E113" i="14"/>
  <c r="F113" i="14"/>
  <c r="E266" i="15"/>
  <c r="D267" i="15"/>
  <c r="E325" i="14"/>
  <c r="F325" i="14"/>
  <c r="C312" i="14"/>
  <c r="E310" i="14"/>
  <c r="F310" i="14"/>
  <c r="D269" i="15"/>
  <c r="E269" i="15"/>
  <c r="D268" i="15"/>
  <c r="E267" i="15"/>
  <c r="C313" i="14"/>
  <c r="F312" i="14"/>
  <c r="E312" i="14"/>
  <c r="C251" i="14"/>
  <c r="C256" i="14"/>
  <c r="F313" i="14"/>
  <c r="C315" i="14"/>
  <c r="C314" i="14"/>
  <c r="E313" i="14"/>
  <c r="D271" i="15"/>
  <c r="E271" i="15"/>
  <c r="E268" i="15"/>
  <c r="C318" i="14"/>
  <c r="E314" i="14"/>
  <c r="F314" i="14"/>
  <c r="E315" i="14"/>
  <c r="F315" i="14"/>
  <c r="C257" i="14"/>
  <c r="E256" i="14"/>
  <c r="F256" i="14"/>
  <c r="F251" i="14"/>
  <c r="E251" i="14"/>
  <c r="F257" i="14"/>
  <c r="E257" i="14"/>
  <c r="F318" i="14"/>
  <c r="E318" i="14"/>
</calcChain>
</file>

<file path=xl/sharedStrings.xml><?xml version="1.0" encoding="utf-8"?>
<sst xmlns="http://schemas.openxmlformats.org/spreadsheetml/2006/main" count="2321" uniqueCount="997">
  <si>
    <t>WILLIAM W. BACKUS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</si>
  <si>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</si>
  <si>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</si>
  <si>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</si>
  <si>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</si>
  <si>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</si>
  <si>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</si>
  <si>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</si>
  <si>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</si>
  <si>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</si>
  <si>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</si>
  <si>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</si>
  <si>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</si>
  <si>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</si>
  <si>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</si>
  <si>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</si>
  <si>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</si>
  <si>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</si>
  <si>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</si>
  <si>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</si>
  <si>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</si>
  <si>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</si>
  <si>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</si>
  <si>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</si>
  <si>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</si>
  <si>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</si>
  <si>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</si>
  <si>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</si>
  <si>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</si>
  <si>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</si>
  <si>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</si>
  <si>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</si>
  <si>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</si>
  <si>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</si>
  <si>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</si>
  <si>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</si>
  <si>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</si>
  <si>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</si>
  <si>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</si>
  <si>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</si>
  <si>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</si>
  <si>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</si>
  <si>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</si>
  <si>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</si>
  <si>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</si>
  <si>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</si>
  <si>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</si>
  <si>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</si>
  <si>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</si>
  <si>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</si>
  <si>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</si>
  <si>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</si>
  <si>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</si>
  <si>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</si>
  <si>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</si>
  <si>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</si>
  <si>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</si>
  <si>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</si>
  <si>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</si>
  <si>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</si>
  <si>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</si>
  <si>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</si>
  <si>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</si>
  <si>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</si>
  <si>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</si>
  <si>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</si>
  <si>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</si>
  <si>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</si>
  <si>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</si>
  <si>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</si>
  <si>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</si>
  <si>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</si>
  <si>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</si>
  <si>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</si>
  <si>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</si>
  <si>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</si>
  <si>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</si>
  <si>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</si>
  <si>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</si>
  <si>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</si>
  <si>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</si>
  <si>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</si>
  <si>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</si>
  <si>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</si>
  <si>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</si>
  <si>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</si>
  <si>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</si>
  <si>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</si>
  <si>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</si>
  <si>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</si>
  <si>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</si>
  <si>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</si>
  <si>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</si>
  <si>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</si>
  <si>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</si>
  <si>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</si>
  <si>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</si>
  <si>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</si>
  <si>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</si>
  <si>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</si>
  <si>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</si>
  <si>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</si>
  <si>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</si>
  <si>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</si>
  <si>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</si>
  <si>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</si>
  <si>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</si>
  <si>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</si>
  <si>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</si>
  <si>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</si>
  <si>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</si>
  <si>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</si>
  <si>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</si>
  <si>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</si>
  <si>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</si>
  <si>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</si>
  <si>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</si>
  <si>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</si>
  <si>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</si>
  <si>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</si>
  <si>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</si>
  <si>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</si>
  <si>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</si>
  <si>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</si>
  <si>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</si>
  <si>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</si>
  <si>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</si>
  <si>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</si>
  <si>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</si>
  <si>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</si>
  <si>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</si>
  <si>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</si>
  <si>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</si>
  <si>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</si>
  <si>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</si>
  <si>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</si>
  <si>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</si>
  <si>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</si>
  <si>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</si>
  <si>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</si>
  <si>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</si>
  <si>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</si>
  <si>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</si>
  <si>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</si>
  <si>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</si>
  <si>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</si>
  <si>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</si>
  <si>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</si>
  <si>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</si>
  <si>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</si>
  <si>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</si>
  <si>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</si>
  <si>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</si>
  <si>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</si>
  <si>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</si>
  <si>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</si>
  <si>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</si>
  <si>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</si>
  <si>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</si>
  <si>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</si>
  <si>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</si>
  <si>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</si>
  <si>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</si>
  <si>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</si>
  <si>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</si>
  <si>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</si>
  <si>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</si>
  <si>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</si>
  <si>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</si>
  <si>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</si>
  <si>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</si>
  <si>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</si>
  <si>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</si>
  <si>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</si>
  <si>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</si>
  <si>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</si>
  <si>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</si>
  <si>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</si>
  <si>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</si>
  <si>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</si>
  <si>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</si>
  <si>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</si>
  <si>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</si>
  <si>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</si>
  <si>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</si>
  <si>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</si>
  <si>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</si>
  <si>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</si>
  <si>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</si>
  <si>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</si>
  <si>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</si>
  <si>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</si>
  <si>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</si>
  <si>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</si>
  <si>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</si>
  <si>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</si>
  <si>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</si>
  <si>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</si>
  <si>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</si>
  <si>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</si>
  <si>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</si>
  <si>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</si>
  <si>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</si>
  <si>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</si>
  <si>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</si>
  <si>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</si>
  <si>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</si>
  <si>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</si>
  <si>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</si>
  <si>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</si>
  <si>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</si>
  <si>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</si>
  <si>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</si>
  <si>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</si>
  <si>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</si>
  <si>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</si>
  <si>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</si>
  <si>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</si>
  <si>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</si>
  <si>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</si>
  <si>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</si>
  <si>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</si>
  <si>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</si>
  <si>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</si>
  <si>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</si>
  <si>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</si>
  <si>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</si>
  <si>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</si>
  <si>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</si>
  <si>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</si>
  <si>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</si>
  <si>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</si>
  <si>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</si>
  <si>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</si>
  <si>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</si>
  <si>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</si>
  <si>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</si>
  <si>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</si>
  <si>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</si>
  <si>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</si>
  <si>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</si>
  <si>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</si>
  <si>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</si>
  <si>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</si>
  <si>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</si>
  <si>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</si>
  <si>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</si>
  <si>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</si>
  <si>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</si>
  <si>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</si>
  <si>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</si>
  <si>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</si>
  <si>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</si>
  <si>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</si>
  <si>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</si>
  <si>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</si>
  <si>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</si>
  <si>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</si>
  <si>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</si>
  <si>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</si>
  <si>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</si>
  <si>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</si>
  <si>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</si>
  <si>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</si>
  <si>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</si>
  <si>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</si>
  <si>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</si>
  <si>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</si>
  <si>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</si>
  <si>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</si>
  <si>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</si>
  <si>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</si>
  <si>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</si>
  <si>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</si>
  <si>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</si>
  <si>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</si>
  <si>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</si>
  <si>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</si>
  <si>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</si>
  <si>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</si>
  <si>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</si>
  <si>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</si>
  <si>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</si>
  <si>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</si>
  <si>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</si>
  <si>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</si>
  <si>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</si>
  <si>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</si>
  <si>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</si>
  <si>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</si>
  <si>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</si>
  <si>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</si>
  <si>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</si>
  <si>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</si>
  <si>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</si>
  <si>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</si>
  <si>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</si>
  <si>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</si>
  <si>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</si>
  <si>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</si>
  <si>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</si>
  <si>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</si>
  <si>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</si>
  <si>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</si>
  <si>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</si>
  <si>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</si>
  <si>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</si>
  <si>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</si>
  <si>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</si>
  <si>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</si>
  <si>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</si>
  <si>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</si>
  <si>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</si>
  <si>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</si>
  <si>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</si>
  <si>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</si>
  <si>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</si>
  <si>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</si>
  <si>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</si>
  <si>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</si>
  <si>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</si>
  <si>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</si>
  <si>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</si>
  <si>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</si>
  <si>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</si>
  <si>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</si>
  <si>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</si>
  <si>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</si>
  <si>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</si>
  <si>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</si>
  <si>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</si>
  <si>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</si>
  <si>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</si>
  <si>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</si>
  <si>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</si>
  <si>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</si>
  <si>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</si>
  <si>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</si>
  <si>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</si>
  <si>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</si>
  <si>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</si>
  <si>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</si>
  <si>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</si>
  <si>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</si>
  <si>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</si>
  <si>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</si>
  <si>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</si>
  <si>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</si>
  <si>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</si>
  <si>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</si>
  <si>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</si>
  <si>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</si>
  <si>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</si>
  <si>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</si>
  <si>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</si>
  <si>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</si>
  <si>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</si>
  <si>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</si>
  <si>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</si>
  <si>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</si>
  <si>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</si>
  <si>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</si>
  <si>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</si>
  <si>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</si>
  <si>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</si>
  <si>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</si>
  <si>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</si>
  <si>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</si>
  <si>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</si>
  <si>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</si>
  <si>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</si>
  <si>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</si>
  <si>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</si>
  <si>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</si>
  <si>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</si>
  <si>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</si>
  <si>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</si>
  <si>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</si>
  <si>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</si>
  <si>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</si>
  <si>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</si>
  <si>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</si>
  <si>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</si>
  <si>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</si>
  <si>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</si>
  <si>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</si>
  <si>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</si>
  <si>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</si>
  <si>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</si>
  <si>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</si>
  <si>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</si>
  <si>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</si>
  <si>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</si>
  <si>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</si>
  <si>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</si>
  <si>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</si>
  <si>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</si>
  <si>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</si>
  <si>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</si>
  <si>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</si>
  <si>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</si>
  <si>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</si>
  <si>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</si>
  <si>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</si>
  <si>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</si>
  <si>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</si>
  <si>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</si>
  <si>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</si>
  <si>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</si>
  <si>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</si>
  <si>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</si>
  <si>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</si>
  <si>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</si>
  <si>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</si>
  <si>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</si>
  <si>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</si>
  <si>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</si>
  <si>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</si>
  <si>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</si>
  <si>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</si>
  <si>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</si>
  <si>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</si>
  <si>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</si>
  <si>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</si>
  <si>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</si>
  <si>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</si>
  <si>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</si>
  <si>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</si>
  <si>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</si>
  <si>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</si>
  <si>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</si>
  <si>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</si>
  <si>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</si>
  <si>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</si>
  <si>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</si>
  <si>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</si>
  <si>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</si>
  <si>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</si>
  <si>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</si>
  <si>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</si>
  <si>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</si>
  <si>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</si>
  <si>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</si>
  <si>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</si>
  <si>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</si>
  <si>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</si>
  <si>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</si>
  <si>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</si>
  <si>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</si>
  <si>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</si>
  <si>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</si>
  <si>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</si>
  <si>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</si>
  <si>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</si>
  <si>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</si>
  <si>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</si>
  <si>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</si>
  <si>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</si>
  <si>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</si>
  <si>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</si>
  <si>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</si>
  <si>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</si>
  <si>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</si>
  <si>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</si>
  <si>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</si>
  <si>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</si>
  <si>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</si>
  <si>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</si>
  <si>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</si>
  <si>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</si>
  <si>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</si>
  <si>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</si>
  <si>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</si>
  <si>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</si>
  <si>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</si>
  <si>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</si>
  <si>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</si>
  <si>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</si>
  <si>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</si>
  <si>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</si>
  <si>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</si>
  <si>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</si>
  <si>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</si>
  <si>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</si>
  <si>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</si>
  <si>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</si>
  <si>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</si>
  <si>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</si>
  <si>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</si>
  <si>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</si>
  <si>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</si>
  <si>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BACKUS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</si>
  <si>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</si>
  <si>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</si>
  <si>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</si>
  <si>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</si>
  <si>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</si>
  <si>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</si>
  <si>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</si>
  <si>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</si>
  <si>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</si>
  <si>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</si>
  <si>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</si>
  <si>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</si>
  <si>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</si>
  <si>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</si>
  <si>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</si>
  <si>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</si>
  <si>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</si>
  <si>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</si>
  <si>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</si>
  <si>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</si>
  <si>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</si>
  <si>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</si>
  <si>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</si>
  <si>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</si>
  <si>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</si>
  <si>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</si>
  <si>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</si>
  <si>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</si>
  <si>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</si>
  <si>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</si>
  <si>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</si>
  <si>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</si>
  <si>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</si>
  <si>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</si>
  <si>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</si>
  <si>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</si>
  <si>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</si>
  <si>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</si>
  <si>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</si>
  <si>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</si>
  <si>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</si>
  <si>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</si>
  <si>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</si>
  <si>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</si>
  <si>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</si>
  <si>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</si>
  <si>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</si>
  <si>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</si>
  <si>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</si>
  <si>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</si>
  <si>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</si>
  <si>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</si>
  <si>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</si>
  <si>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</si>
  <si>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</si>
  <si>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</si>
  <si>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</si>
  <si>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</si>
  <si>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</si>
  <si>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</si>
  <si>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</si>
  <si>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</si>
  <si>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</si>
  <si>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</si>
  <si>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</si>
  <si>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</si>
  <si>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</si>
  <si>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</si>
  <si>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</si>
  <si>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</si>
  <si>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</si>
  <si>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</si>
  <si>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</si>
  <si>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</si>
  <si>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</si>
  <si>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</si>
  <si>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</si>
  <si>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</si>
  <si>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</si>
  <si>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</si>
  <si>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</si>
  <si>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</si>
  <si>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</si>
  <si>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</si>
  <si>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</si>
  <si>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</si>
  <si>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</si>
  <si>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</si>
  <si>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</si>
  <si>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</si>
  <si>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</si>
  <si>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</si>
  <si>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</si>
  <si>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</si>
  <si>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</si>
  <si>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</si>
  <si>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</si>
  <si>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</si>
  <si>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</si>
  <si>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</si>
  <si>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</si>
  <si>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</si>
  <si>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</si>
  <si>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</si>
  <si>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</si>
  <si>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</si>
  <si>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</si>
  <si>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</si>
  <si>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</si>
  <si>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BACKUS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</si>
  <si>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</si>
  <si>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</si>
  <si>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</si>
  <si>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BACKUS PLAINFIELD EMERGENCY DPT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</si>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</sst>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93136217</v>
      </c>
      <c r="D13" s="23">
        <v>107428365</v>
      </c>
      <c r="E13" s="23">
        <f t="shared" ref="E13:E22" si="0">D13-C13</f>
        <v>14292148</v>
      </c>
      <c r="F13" s="24">
        <f t="shared" ref="F13:F22" si="1">IF(C13=0,0,E13/C13)</f>
        <v>0.15345424648286929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9.25" customHeight="1" x14ac:dyDescent="0.2">
      <c r="A15" s="21">
        <v>3</v>
      </c>
      <c r="B15" s="22" t="s">
        <v>18</v>
      </c>
      <c r="C15" s="23">
        <v>32373122</v>
      </c>
      <c r="D15" s="23">
        <v>32015340</v>
      </c>
      <c r="E15" s="23">
        <f t="shared" si="0"/>
        <v>-357782</v>
      </c>
      <c r="F15" s="24">
        <f t="shared" si="1"/>
        <v>-1.1051822558232104E-2</v>
      </c>
    </row>
    <row r="16" spans="1:8" ht="24" customHeight="1" x14ac:dyDescent="0.2">
      <c r="A16" s="21">
        <v>4</v>
      </c>
      <c r="B16" s="22" t="s">
        <v>19</v>
      </c>
      <c r="C16" s="23">
        <v>5885482</v>
      </c>
      <c r="D16" s="23">
        <v>7433046</v>
      </c>
      <c r="E16" s="23">
        <f t="shared" si="0"/>
        <v>1547564</v>
      </c>
      <c r="F16" s="24">
        <f t="shared" si="1"/>
        <v>0.26294600850023836</v>
      </c>
    </row>
    <row r="17" spans="1:11" ht="24" customHeight="1" x14ac:dyDescent="0.2">
      <c r="A17" s="21">
        <v>5</v>
      </c>
      <c r="B17" s="22" t="s">
        <v>20</v>
      </c>
      <c r="C17" s="23">
        <v>161210</v>
      </c>
      <c r="D17" s="23">
        <v>564613</v>
      </c>
      <c r="E17" s="23">
        <f t="shared" si="0"/>
        <v>403403</v>
      </c>
      <c r="F17" s="24">
        <f t="shared" si="1"/>
        <v>2.5023447676943116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3704067</v>
      </c>
      <c r="D19" s="23">
        <v>3548865</v>
      </c>
      <c r="E19" s="23">
        <f t="shared" si="0"/>
        <v>-155202</v>
      </c>
      <c r="F19" s="24">
        <f t="shared" si="1"/>
        <v>-4.1900429986822592E-2</v>
      </c>
    </row>
    <row r="20" spans="1:11" ht="24" customHeight="1" x14ac:dyDescent="0.2">
      <c r="A20" s="21">
        <v>8</v>
      </c>
      <c r="B20" s="22" t="s">
        <v>23</v>
      </c>
      <c r="C20" s="23">
        <v>1608996</v>
      </c>
      <c r="D20" s="23">
        <v>3309657</v>
      </c>
      <c r="E20" s="23">
        <f t="shared" si="0"/>
        <v>1700661</v>
      </c>
      <c r="F20" s="24">
        <f t="shared" si="1"/>
        <v>1.0569703094352005</v>
      </c>
    </row>
    <row r="21" spans="1:11" ht="24" customHeight="1" x14ac:dyDescent="0.2">
      <c r="A21" s="21">
        <v>9</v>
      </c>
      <c r="B21" s="22" t="s">
        <v>24</v>
      </c>
      <c r="C21" s="23">
        <v>101211</v>
      </c>
      <c r="D21" s="23">
        <v>31723</v>
      </c>
      <c r="E21" s="23">
        <f t="shared" si="0"/>
        <v>-69488</v>
      </c>
      <c r="F21" s="24">
        <f t="shared" si="1"/>
        <v>-0.68656568950015318</v>
      </c>
    </row>
    <row r="22" spans="1:11" ht="24" customHeight="1" x14ac:dyDescent="0.25">
      <c r="A22" s="25"/>
      <c r="B22" s="26" t="s">
        <v>25</v>
      </c>
      <c r="C22" s="27">
        <f>SUM(C13:C21)</f>
        <v>136970305</v>
      </c>
      <c r="D22" s="27">
        <f>SUM(D13:D21)</f>
        <v>154331609</v>
      </c>
      <c r="E22" s="27">
        <f t="shared" si="0"/>
        <v>17361304</v>
      </c>
      <c r="F22" s="28">
        <f t="shared" si="1"/>
        <v>0.12675232051209931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28078427</v>
      </c>
      <c r="D25" s="23">
        <v>30175064</v>
      </c>
      <c r="E25" s="23">
        <f>D25-C25</f>
        <v>2096637</v>
      </c>
      <c r="F25" s="24">
        <f>IF(C25=0,0,E25/C25)</f>
        <v>7.467074277344668E-2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99552920</v>
      </c>
      <c r="D26" s="23">
        <v>109435719</v>
      </c>
      <c r="E26" s="23">
        <f>D26-C26</f>
        <v>9882799</v>
      </c>
      <c r="F26" s="24">
        <f>IF(C26=0,0,E26/C26)</f>
        <v>9.9271814427944458E-2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127631347</v>
      </c>
      <c r="D29" s="27">
        <f>SUM(D25:D28)</f>
        <v>139610783</v>
      </c>
      <c r="E29" s="27">
        <f>D29-C29</f>
        <v>11979436</v>
      </c>
      <c r="F29" s="28">
        <f>IF(C29=0,0,E29/C29)</f>
        <v>9.3859669129716231E-2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3384622</v>
      </c>
      <c r="D33" s="23">
        <v>7636146</v>
      </c>
      <c r="E33" s="23">
        <f>D33-C33</f>
        <v>4251524</v>
      </c>
      <c r="F33" s="24">
        <f>IF(C33=0,0,E33/C33)</f>
        <v>1.256129635746621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229404094</v>
      </c>
      <c r="D36" s="23">
        <v>238564796</v>
      </c>
      <c r="E36" s="23">
        <f>D36-C36</f>
        <v>9160702</v>
      </c>
      <c r="F36" s="24">
        <f>IF(C36=0,0,E36/C36)</f>
        <v>3.9932600331012404E-2</v>
      </c>
    </row>
    <row r="37" spans="1:8" ht="24" customHeight="1" x14ac:dyDescent="0.2">
      <c r="A37" s="21">
        <v>2</v>
      </c>
      <c r="B37" s="22" t="s">
        <v>39</v>
      </c>
      <c r="C37" s="23">
        <v>140786203</v>
      </c>
      <c r="D37" s="23">
        <v>148957964</v>
      </c>
      <c r="E37" s="23">
        <f>D37-C37</f>
        <v>8171761</v>
      </c>
      <c r="F37" s="24">
        <f>IF(C37=0,0,E37/C37)</f>
        <v>5.80437629957248E-2</v>
      </c>
    </row>
    <row r="38" spans="1:8" ht="24" customHeight="1" x14ac:dyDescent="0.25">
      <c r="A38" s="25"/>
      <c r="B38" s="26" t="s">
        <v>40</v>
      </c>
      <c r="C38" s="27">
        <f>C36-C37</f>
        <v>88617891</v>
      </c>
      <c r="D38" s="27">
        <f>D36-D37</f>
        <v>89606832</v>
      </c>
      <c r="E38" s="27">
        <f>D38-C38</f>
        <v>988941</v>
      </c>
      <c r="F38" s="28">
        <f>IF(C38=0,0,E38/C38)</f>
        <v>1.1159608842417611E-2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1365773</v>
      </c>
      <c r="D40" s="23">
        <v>1747654</v>
      </c>
      <c r="E40" s="23">
        <f>D40-C40</f>
        <v>381881</v>
      </c>
      <c r="F40" s="24">
        <f>IF(C40=0,0,E40/C40)</f>
        <v>0.27960795827710755</v>
      </c>
    </row>
    <row r="41" spans="1:8" ht="24" customHeight="1" x14ac:dyDescent="0.25">
      <c r="A41" s="25"/>
      <c r="B41" s="26" t="s">
        <v>42</v>
      </c>
      <c r="C41" s="27">
        <f>+C38+C40</f>
        <v>89983664</v>
      </c>
      <c r="D41" s="27">
        <f>+D38+D40</f>
        <v>91354486</v>
      </c>
      <c r="E41" s="27">
        <f>D41-C41</f>
        <v>1370822</v>
      </c>
      <c r="F41" s="28">
        <f>IF(C41=0,0,E41/C41)</f>
        <v>1.5234120717733833E-2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357969938</v>
      </c>
      <c r="D43" s="27">
        <f>D22+D29+D31+D32+D33+D41</f>
        <v>392933024</v>
      </c>
      <c r="E43" s="27">
        <f>D43-C43</f>
        <v>34963086</v>
      </c>
      <c r="F43" s="28">
        <f>IF(C43=0,0,E43/C43)</f>
        <v>9.7670452986473963E-2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9918459</v>
      </c>
      <c r="D49" s="23">
        <v>9176344</v>
      </c>
      <c r="E49" s="23">
        <f t="shared" ref="E49:E56" si="2">D49-C49</f>
        <v>-742115</v>
      </c>
      <c r="F49" s="24">
        <f t="shared" ref="F49:F56" si="3">IF(C49=0,0,E49/C49)</f>
        <v>-7.4821602831649556E-2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6666138</v>
      </c>
      <c r="D50" s="23">
        <v>6802151</v>
      </c>
      <c r="E50" s="23">
        <f t="shared" si="2"/>
        <v>136013</v>
      </c>
      <c r="F50" s="24">
        <f t="shared" si="3"/>
        <v>2.0403568002942633E-2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4683178</v>
      </c>
      <c r="D51" s="23">
        <v>1193235</v>
      </c>
      <c r="E51" s="23">
        <f t="shared" si="2"/>
        <v>-3489943</v>
      </c>
      <c r="F51" s="24">
        <f t="shared" si="3"/>
        <v>-0.74520827523532096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1965000</v>
      </c>
      <c r="D53" s="23">
        <v>2045000</v>
      </c>
      <c r="E53" s="23">
        <f t="shared" si="2"/>
        <v>80000</v>
      </c>
      <c r="F53" s="24">
        <f t="shared" si="3"/>
        <v>4.0712468193384227E-2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150360</v>
      </c>
      <c r="D54" s="23">
        <v>301210</v>
      </c>
      <c r="E54" s="23">
        <f t="shared" si="2"/>
        <v>150850</v>
      </c>
      <c r="F54" s="24">
        <f t="shared" si="3"/>
        <v>1.0032588454376163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9676707</v>
      </c>
      <c r="D55" s="23">
        <v>11440075</v>
      </c>
      <c r="E55" s="23">
        <f t="shared" si="2"/>
        <v>1763368</v>
      </c>
      <c r="F55" s="24">
        <f t="shared" si="3"/>
        <v>0.18222810714430024</v>
      </c>
    </row>
    <row r="56" spans="1:6" ht="24" customHeight="1" x14ac:dyDescent="0.25">
      <c r="A56" s="25"/>
      <c r="B56" s="26" t="s">
        <v>54</v>
      </c>
      <c r="C56" s="27">
        <f>SUM(C49:C55)</f>
        <v>33059842</v>
      </c>
      <c r="D56" s="27">
        <f>SUM(D49:D55)</f>
        <v>30958015</v>
      </c>
      <c r="E56" s="27">
        <f t="shared" si="2"/>
        <v>-2101827</v>
      </c>
      <c r="F56" s="28">
        <f t="shared" si="3"/>
        <v>-6.3576438145106676E-2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59976971</v>
      </c>
      <c r="D59" s="23">
        <v>57887276</v>
      </c>
      <c r="E59" s="23">
        <f>D59-C59</f>
        <v>-2089695</v>
      </c>
      <c r="F59" s="24">
        <f>IF(C59=0,0,E59/C59)</f>
        <v>-3.4841622795522637E-2</v>
      </c>
    </row>
    <row r="60" spans="1:6" ht="24" customHeight="1" x14ac:dyDescent="0.2">
      <c r="A60" s="21">
        <v>2</v>
      </c>
      <c r="B60" s="22" t="s">
        <v>57</v>
      </c>
      <c r="C60" s="23">
        <v>2412742</v>
      </c>
      <c r="D60" s="23">
        <v>7169714</v>
      </c>
      <c r="E60" s="23">
        <f>D60-C60</f>
        <v>4756972</v>
      </c>
      <c r="F60" s="24">
        <f>IF(C60=0,0,E60/C60)</f>
        <v>1.9716040919418654</v>
      </c>
    </row>
    <row r="61" spans="1:6" ht="24" customHeight="1" x14ac:dyDescent="0.25">
      <c r="A61" s="25"/>
      <c r="B61" s="26" t="s">
        <v>58</v>
      </c>
      <c r="C61" s="27">
        <f>SUM(C59:C60)</f>
        <v>62389713</v>
      </c>
      <c r="D61" s="27">
        <f>SUM(D59:D60)</f>
        <v>65056990</v>
      </c>
      <c r="E61" s="27">
        <f>D61-C61</f>
        <v>2667277</v>
      </c>
      <c r="F61" s="28">
        <f>IF(C61=0,0,E61/C61)</f>
        <v>4.2751871610629141E-2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62916776</v>
      </c>
      <c r="D63" s="23">
        <v>62941096</v>
      </c>
      <c r="E63" s="23">
        <f>D63-C63</f>
        <v>24320</v>
      </c>
      <c r="F63" s="24">
        <f>IF(C63=0,0,E63/C63)</f>
        <v>3.8654237464424431E-4</v>
      </c>
    </row>
    <row r="64" spans="1:6" ht="24" customHeight="1" x14ac:dyDescent="0.2">
      <c r="A64" s="21">
        <v>4</v>
      </c>
      <c r="B64" s="22" t="s">
        <v>60</v>
      </c>
      <c r="C64" s="23">
        <v>37427574</v>
      </c>
      <c r="D64" s="23">
        <v>36132879</v>
      </c>
      <c r="E64" s="23">
        <f>D64-C64</f>
        <v>-1294695</v>
      </c>
      <c r="F64" s="24">
        <f>IF(C64=0,0,E64/C64)</f>
        <v>-3.4592009623706843E-2</v>
      </c>
    </row>
    <row r="65" spans="1:6" ht="24" customHeight="1" x14ac:dyDescent="0.25">
      <c r="A65" s="25"/>
      <c r="B65" s="26" t="s">
        <v>61</v>
      </c>
      <c r="C65" s="27">
        <f>SUM(C61:C64)</f>
        <v>162734063</v>
      </c>
      <c r="D65" s="27">
        <f>SUM(D61:D64)</f>
        <v>164130965</v>
      </c>
      <c r="E65" s="27">
        <f>D65-C65</f>
        <v>1396902</v>
      </c>
      <c r="F65" s="28">
        <f>IF(C65=0,0,E65/C65)</f>
        <v>8.5839557757492971E-3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153327362</v>
      </c>
      <c r="D70" s="23">
        <v>187197385</v>
      </c>
      <c r="E70" s="23">
        <f>D70-C70</f>
        <v>33870023</v>
      </c>
      <c r="F70" s="24">
        <f>IF(C70=0,0,E70/C70)</f>
        <v>0.2209000569643923</v>
      </c>
    </row>
    <row r="71" spans="1:6" ht="24" customHeight="1" x14ac:dyDescent="0.2">
      <c r="A71" s="21">
        <v>2</v>
      </c>
      <c r="B71" s="22" t="s">
        <v>65</v>
      </c>
      <c r="C71" s="23">
        <v>1399547</v>
      </c>
      <c r="D71" s="23">
        <v>2890743</v>
      </c>
      <c r="E71" s="23">
        <f>D71-C71</f>
        <v>1491196</v>
      </c>
      <c r="F71" s="24">
        <f>IF(C71=0,0,E71/C71)</f>
        <v>1.0654847604260522</v>
      </c>
    </row>
    <row r="72" spans="1:6" ht="24" customHeight="1" x14ac:dyDescent="0.2">
      <c r="A72" s="21">
        <v>3</v>
      </c>
      <c r="B72" s="22" t="s">
        <v>66</v>
      </c>
      <c r="C72" s="23">
        <v>7449124</v>
      </c>
      <c r="D72" s="23">
        <v>7755916</v>
      </c>
      <c r="E72" s="23">
        <f>D72-C72</f>
        <v>306792</v>
      </c>
      <c r="F72" s="24">
        <f>IF(C72=0,0,E72/C72)</f>
        <v>4.1184976918091309E-2</v>
      </c>
    </row>
    <row r="73" spans="1:6" ht="24" customHeight="1" x14ac:dyDescent="0.25">
      <c r="A73" s="21"/>
      <c r="B73" s="26" t="s">
        <v>67</v>
      </c>
      <c r="C73" s="27">
        <f>SUM(C70:C72)</f>
        <v>162176033</v>
      </c>
      <c r="D73" s="27">
        <f>SUM(D70:D72)</f>
        <v>197844044</v>
      </c>
      <c r="E73" s="27">
        <f>D73-C73</f>
        <v>35668011</v>
      </c>
      <c r="F73" s="28">
        <f>IF(C73=0,0,E73/C73)</f>
        <v>0.21993392204876536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357969938</v>
      </c>
      <c r="D75" s="27">
        <f>D56+D65+D67+D73</f>
        <v>392933024</v>
      </c>
      <c r="E75" s="27">
        <f>D75-C75</f>
        <v>34963086</v>
      </c>
      <c r="F75" s="28">
        <f>IF(C75=0,0,E75/C75)</f>
        <v>9.7670452986473963E-2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FILING&amp;RWILLIAM W. BACKUS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282901504</v>
      </c>
      <c r="D11" s="51">
        <v>285207565</v>
      </c>
      <c r="E11" s="51">
        <v>297604077</v>
      </c>
      <c r="F11" s="28"/>
    </row>
    <row r="12" spans="1:6" ht="24" customHeight="1" x14ac:dyDescent="0.25">
      <c r="A12" s="44">
        <v>2</v>
      </c>
      <c r="B12" s="48" t="s">
        <v>76</v>
      </c>
      <c r="C12" s="49">
        <v>4448488</v>
      </c>
      <c r="D12" s="49">
        <v>4981011</v>
      </c>
      <c r="E12" s="49">
        <v>7456820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287349992</v>
      </c>
      <c r="D13" s="51">
        <f>+D11+D12</f>
        <v>290188576</v>
      </c>
      <c r="E13" s="51">
        <f>+E11+E12</f>
        <v>305060897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276737448</v>
      </c>
      <c r="D14" s="49">
        <v>268647757</v>
      </c>
      <c r="E14" s="49">
        <v>281434152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10612544</v>
      </c>
      <c r="D15" s="51">
        <f>+D13-D14</f>
        <v>21540819</v>
      </c>
      <c r="E15" s="51">
        <f>+E13-E14</f>
        <v>23626745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8892661</v>
      </c>
      <c r="D16" s="49">
        <v>2038205</v>
      </c>
      <c r="E16" s="49">
        <v>14102638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19505205</v>
      </c>
      <c r="D17" s="51">
        <f>D15+D16</f>
        <v>23579024</v>
      </c>
      <c r="E17" s="51">
        <f>E15+E16</f>
        <v>37729383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3.5823821764113084E-2</v>
      </c>
      <c r="D20" s="169">
        <f>IF(+D27=0,0,+D24/+D27)</f>
        <v>7.3712679331741332E-2</v>
      </c>
      <c r="E20" s="169">
        <f>IF(+E27=0,0,+E24/+E27)</f>
        <v>7.4027081445880091E-2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3.0018165547551993E-2</v>
      </c>
      <c r="D21" s="169">
        <f>IF(+D27=0,0,+D26/+D27)</f>
        <v>6.9747371990522659E-3</v>
      </c>
      <c r="E21" s="169">
        <f>IF(+E27=0,0,+E26/+E27)</f>
        <v>4.4186244521950163E-2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6.5841987311665073E-2</v>
      </c>
      <c r="D22" s="169">
        <f>IF(+D27=0,0,+D28/+D27)</f>
        <v>8.0687416530793601E-2</v>
      </c>
      <c r="E22" s="169">
        <f>IF(+E27=0,0,+E28/+E27)</f>
        <v>0.11821332596783025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10612544</v>
      </c>
      <c r="D24" s="51">
        <f>+D15</f>
        <v>21540819</v>
      </c>
      <c r="E24" s="51">
        <f>+E15</f>
        <v>23626745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287349992</v>
      </c>
      <c r="D25" s="51">
        <f>+D13</f>
        <v>290188576</v>
      </c>
      <c r="E25" s="51">
        <f>+E13</f>
        <v>305060897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8892661</v>
      </c>
      <c r="D26" s="51">
        <f>+D16</f>
        <v>2038205</v>
      </c>
      <c r="E26" s="51">
        <f>+E16</f>
        <v>14102638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296242653</v>
      </c>
      <c r="D27" s="51">
        <f>SUM(D25:D26)</f>
        <v>292226781</v>
      </c>
      <c r="E27" s="51">
        <f>SUM(E25:E26)</f>
        <v>319163535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19505205</v>
      </c>
      <c r="D28" s="51">
        <f>+D17</f>
        <v>23579024</v>
      </c>
      <c r="E28" s="51">
        <f>+E17</f>
        <v>37729383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149253750</v>
      </c>
      <c r="D31" s="51">
        <v>153913943</v>
      </c>
      <c r="E31" s="52">
        <v>187377643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160830713</v>
      </c>
      <c r="D32" s="51">
        <v>162762614</v>
      </c>
      <c r="E32" s="51">
        <v>198024302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45744988</v>
      </c>
      <c r="D33" s="51">
        <f>+D32-C32</f>
        <v>1931901</v>
      </c>
      <c r="E33" s="51">
        <f>+E32-D32</f>
        <v>35261688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1.3974</v>
      </c>
      <c r="D34" s="171">
        <f>IF(C32=0,0,+D33/C32)</f>
        <v>1.2012015391612422E-2</v>
      </c>
      <c r="E34" s="171">
        <f>IF(D32=0,0,+E33/D32)</f>
        <v>0.216644886275911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3.5994822568857803</v>
      </c>
      <c r="D38" s="269">
        <f>IF(+D40=0,0,+D39/+D40)</f>
        <v>4.0606028316016003</v>
      </c>
      <c r="E38" s="269">
        <f>IF(+E40=0,0,+E39/+E40)</f>
        <v>4.7372133507242831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120782920</v>
      </c>
      <c r="D39" s="270">
        <v>141187465</v>
      </c>
      <c r="E39" s="270">
        <v>156391235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33555637</v>
      </c>
      <c r="D40" s="270">
        <v>34770075</v>
      </c>
      <c r="E40" s="270">
        <v>33013340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105.51316824118581</v>
      </c>
      <c r="D42" s="271">
        <f>IF((D48/365)=0,0,+D45/(D48/365))</f>
        <v>138.44717803015811</v>
      </c>
      <c r="E42" s="271">
        <f>IF((E48/365)=0,0,+E45/(E48/365))</f>
        <v>150.130772045425</v>
      </c>
    </row>
    <row r="43" spans="1:14" ht="24" customHeight="1" x14ac:dyDescent="0.2">
      <c r="A43" s="17">
        <v>5</v>
      </c>
      <c r="B43" s="188" t="s">
        <v>16</v>
      </c>
      <c r="C43" s="272">
        <v>74929624</v>
      </c>
      <c r="D43" s="272">
        <v>95434551</v>
      </c>
      <c r="E43" s="272">
        <v>108322462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74929624</v>
      </c>
      <c r="D45" s="270">
        <f>+D43+D44</f>
        <v>95434551</v>
      </c>
      <c r="E45" s="270">
        <f>+E43+E44</f>
        <v>108322462</v>
      </c>
    </row>
    <row r="46" spans="1:14" ht="24" customHeight="1" x14ac:dyDescent="0.2">
      <c r="A46" s="17">
        <v>8</v>
      </c>
      <c r="B46" s="45" t="s">
        <v>336</v>
      </c>
      <c r="C46" s="270">
        <f>+C14</f>
        <v>276737448</v>
      </c>
      <c r="D46" s="270">
        <f>+D14</f>
        <v>268647757</v>
      </c>
      <c r="E46" s="270">
        <f>+E14</f>
        <v>281434152</v>
      </c>
    </row>
    <row r="47" spans="1:14" ht="24" customHeight="1" x14ac:dyDescent="0.2">
      <c r="A47" s="17">
        <v>9</v>
      </c>
      <c r="B47" s="45" t="s">
        <v>359</v>
      </c>
      <c r="C47" s="270">
        <v>17534609</v>
      </c>
      <c r="D47" s="270">
        <v>17045582</v>
      </c>
      <c r="E47" s="270">
        <v>18079091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259202839</v>
      </c>
      <c r="D48" s="270">
        <f>+D46-D47</f>
        <v>251602175</v>
      </c>
      <c r="E48" s="270">
        <f>+E46-E47</f>
        <v>263355061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38.168656042210365</v>
      </c>
      <c r="D50" s="278">
        <f>IF((D55/365)=0,0,+D54/(D55/365))</f>
        <v>37.630569669496666</v>
      </c>
      <c r="E50" s="278">
        <f>IF((E55/365)=0,0,+E54/(E55/365))</f>
        <v>39.496695167922717</v>
      </c>
    </row>
    <row r="51" spans="1:5" ht="24" customHeight="1" x14ac:dyDescent="0.2">
      <c r="A51" s="17">
        <v>12</v>
      </c>
      <c r="B51" s="188" t="s">
        <v>362</v>
      </c>
      <c r="C51" s="279">
        <v>32546895</v>
      </c>
      <c r="D51" s="279">
        <v>34428013</v>
      </c>
      <c r="E51" s="279">
        <v>33684894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2963415</v>
      </c>
      <c r="D53" s="270">
        <v>5023840</v>
      </c>
      <c r="E53" s="270">
        <v>1481120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29583480</v>
      </c>
      <c r="D54" s="280">
        <f>+D51+D52-D53</f>
        <v>29404173</v>
      </c>
      <c r="E54" s="280">
        <f>+E51+E52-E53</f>
        <v>32203774</v>
      </c>
    </row>
    <row r="55" spans="1:5" ht="24" customHeight="1" x14ac:dyDescent="0.2">
      <c r="A55" s="17">
        <v>16</v>
      </c>
      <c r="B55" s="45" t="s">
        <v>75</v>
      </c>
      <c r="C55" s="270">
        <f>+C11</f>
        <v>282901504</v>
      </c>
      <c r="D55" s="270">
        <f>+D11</f>
        <v>285207565</v>
      </c>
      <c r="E55" s="270">
        <f>+E11</f>
        <v>297604077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47.251826223245956</v>
      </c>
      <c r="D57" s="283">
        <f>IF((D61/365)=0,0,+D58/(D61/365))</f>
        <v>50.441047955964606</v>
      </c>
      <c r="E57" s="283">
        <f>IF((E61/365)=0,0,+E58/(E61/365))</f>
        <v>45.755221313176129</v>
      </c>
    </row>
    <row r="58" spans="1:5" ht="24" customHeight="1" x14ac:dyDescent="0.2">
      <c r="A58" s="17">
        <v>18</v>
      </c>
      <c r="B58" s="45" t="s">
        <v>54</v>
      </c>
      <c r="C58" s="281">
        <f>+C40</f>
        <v>33555637</v>
      </c>
      <c r="D58" s="281">
        <f>+D40</f>
        <v>34770075</v>
      </c>
      <c r="E58" s="281">
        <f>+E40</f>
        <v>33013340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276737448</v>
      </c>
      <c r="D59" s="281">
        <f t="shared" si="0"/>
        <v>268647757</v>
      </c>
      <c r="E59" s="281">
        <f t="shared" si="0"/>
        <v>281434152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17534609</v>
      </c>
      <c r="D60" s="176">
        <f t="shared" si="0"/>
        <v>17045582</v>
      </c>
      <c r="E60" s="176">
        <f t="shared" si="0"/>
        <v>18079091</v>
      </c>
    </row>
    <row r="61" spans="1:5" ht="24" customHeight="1" x14ac:dyDescent="0.2">
      <c r="A61" s="17">
        <v>21</v>
      </c>
      <c r="B61" s="45" t="s">
        <v>365</v>
      </c>
      <c r="C61" s="281">
        <f>+C59-C60</f>
        <v>259202839</v>
      </c>
      <c r="D61" s="281">
        <f>+D59-D60</f>
        <v>251602175</v>
      </c>
      <c r="E61" s="281">
        <f>+E59-E60</f>
        <v>263355061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47.222175129772907</v>
      </c>
      <c r="D65" s="284">
        <f>IF(D67=0,0,(D66/D67)*100)</f>
        <v>44.784624374541764</v>
      </c>
      <c r="E65" s="284">
        <f>IF(E67=0,0,(E66/E67)*100)</f>
        <v>49.978185811026812</v>
      </c>
    </row>
    <row r="66" spans="1:5" ht="24" customHeight="1" x14ac:dyDescent="0.2">
      <c r="A66" s="17">
        <v>2</v>
      </c>
      <c r="B66" s="45" t="s">
        <v>67</v>
      </c>
      <c r="C66" s="281">
        <f>+C32</f>
        <v>160830713</v>
      </c>
      <c r="D66" s="281">
        <f>+D32</f>
        <v>162762614</v>
      </c>
      <c r="E66" s="281">
        <f>+E32</f>
        <v>198024302</v>
      </c>
    </row>
    <row r="67" spans="1:5" ht="24" customHeight="1" x14ac:dyDescent="0.2">
      <c r="A67" s="17">
        <v>3</v>
      </c>
      <c r="B67" s="45" t="s">
        <v>43</v>
      </c>
      <c r="C67" s="281">
        <v>340583026</v>
      </c>
      <c r="D67" s="281">
        <v>363434139</v>
      </c>
      <c r="E67" s="281">
        <v>396221469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37.738939938827556</v>
      </c>
      <c r="D69" s="284">
        <f>IF(D75=0,0,(D72/D75)*100)</f>
        <v>41.812159985363486</v>
      </c>
      <c r="E69" s="284">
        <f>IF(E75=0,0,(E72/E75)*100)</f>
        <v>56.906583265295431</v>
      </c>
    </row>
    <row r="70" spans="1:5" ht="24" customHeight="1" x14ac:dyDescent="0.2">
      <c r="A70" s="17">
        <v>5</v>
      </c>
      <c r="B70" s="45" t="s">
        <v>370</v>
      </c>
      <c r="C70" s="281">
        <f>+C28</f>
        <v>19505205</v>
      </c>
      <c r="D70" s="281">
        <f>+D28</f>
        <v>23579024</v>
      </c>
      <c r="E70" s="281">
        <f>+E28</f>
        <v>37729383</v>
      </c>
    </row>
    <row r="71" spans="1:5" ht="24" customHeight="1" x14ac:dyDescent="0.2">
      <c r="A71" s="17">
        <v>6</v>
      </c>
      <c r="B71" s="45" t="s">
        <v>359</v>
      </c>
      <c r="C71" s="176">
        <f>+C47</f>
        <v>17534609</v>
      </c>
      <c r="D71" s="176">
        <f>+D47</f>
        <v>17045582</v>
      </c>
      <c r="E71" s="176">
        <f>+E47</f>
        <v>18079091</v>
      </c>
    </row>
    <row r="72" spans="1:5" ht="24" customHeight="1" x14ac:dyDescent="0.2">
      <c r="A72" s="17">
        <v>7</v>
      </c>
      <c r="B72" s="45" t="s">
        <v>371</v>
      </c>
      <c r="C72" s="281">
        <f>+C70+C71</f>
        <v>37039814</v>
      </c>
      <c r="D72" s="281">
        <f>+D70+D71</f>
        <v>40624606</v>
      </c>
      <c r="E72" s="281">
        <f>+E70+E71</f>
        <v>55808474</v>
      </c>
    </row>
    <row r="73" spans="1:5" ht="24" customHeight="1" x14ac:dyDescent="0.2">
      <c r="A73" s="17">
        <v>8</v>
      </c>
      <c r="B73" s="45" t="s">
        <v>54</v>
      </c>
      <c r="C73" s="270">
        <f>+C40</f>
        <v>33555637</v>
      </c>
      <c r="D73" s="270">
        <f>+D40</f>
        <v>34770075</v>
      </c>
      <c r="E73" s="270">
        <f>+E40</f>
        <v>33013340</v>
      </c>
    </row>
    <row r="74" spans="1:5" ht="24" customHeight="1" x14ac:dyDescent="0.2">
      <c r="A74" s="17">
        <v>9</v>
      </c>
      <c r="B74" s="45" t="s">
        <v>58</v>
      </c>
      <c r="C74" s="281">
        <v>64591831</v>
      </c>
      <c r="D74" s="281">
        <v>62389713</v>
      </c>
      <c r="E74" s="281">
        <v>65056990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98147468</v>
      </c>
      <c r="D75" s="270">
        <f>+D73+D74</f>
        <v>97159788</v>
      </c>
      <c r="E75" s="270">
        <f>+E73+E74</f>
        <v>98070330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28.653669617001569</v>
      </c>
      <c r="D77" s="286">
        <f>IF(D80=0,0,(D78/D80)*100)</f>
        <v>27.710001416063534</v>
      </c>
      <c r="E77" s="286">
        <f>IF(E80=0,0,(E78/E80)*100)</f>
        <v>24.728854532157307</v>
      </c>
    </row>
    <row r="78" spans="1:5" ht="24" customHeight="1" x14ac:dyDescent="0.2">
      <c r="A78" s="17">
        <v>12</v>
      </c>
      <c r="B78" s="45" t="s">
        <v>58</v>
      </c>
      <c r="C78" s="270">
        <f>+C74</f>
        <v>64591831</v>
      </c>
      <c r="D78" s="270">
        <f>+D74</f>
        <v>62389713</v>
      </c>
      <c r="E78" s="270">
        <f>+E74</f>
        <v>65056990</v>
      </c>
    </row>
    <row r="79" spans="1:5" ht="24" customHeight="1" x14ac:dyDescent="0.2">
      <c r="A79" s="17">
        <v>13</v>
      </c>
      <c r="B79" s="45" t="s">
        <v>67</v>
      </c>
      <c r="C79" s="270">
        <f>+C32</f>
        <v>160830713</v>
      </c>
      <c r="D79" s="270">
        <f>+D32</f>
        <v>162762614</v>
      </c>
      <c r="E79" s="270">
        <f>+E32</f>
        <v>198024302</v>
      </c>
    </row>
    <row r="80" spans="1:5" ht="24" customHeight="1" x14ac:dyDescent="0.2">
      <c r="A80" s="17">
        <v>14</v>
      </c>
      <c r="B80" s="45" t="s">
        <v>374</v>
      </c>
      <c r="C80" s="270">
        <f>+C78+C79</f>
        <v>225422544</v>
      </c>
      <c r="D80" s="270">
        <f>+D78+D79</f>
        <v>225152327</v>
      </c>
      <c r="E80" s="270">
        <f>+E78+E79</f>
        <v>263081292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FILING&amp;R&amp;8BACKUS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37476</v>
      </c>
      <c r="D11" s="296">
        <v>9495</v>
      </c>
      <c r="E11" s="296">
        <v>9525</v>
      </c>
      <c r="F11" s="297">
        <v>138</v>
      </c>
      <c r="G11" s="297">
        <v>166</v>
      </c>
      <c r="H11" s="298">
        <f>IF(F11=0,0,$C11/(F11*365))</f>
        <v>0.74401429422275167</v>
      </c>
      <c r="I11" s="298">
        <f>IF(G11=0,0,$C11/(G11*365))</f>
        <v>0.61851790724542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3224</v>
      </c>
      <c r="D13" s="296">
        <v>151</v>
      </c>
      <c r="E13" s="296">
        <v>0</v>
      </c>
      <c r="F13" s="297">
        <v>12</v>
      </c>
      <c r="G13" s="297">
        <v>12</v>
      </c>
      <c r="H13" s="298">
        <f>IF(F13=0,0,$C13/(F13*365))</f>
        <v>0.73607305936073064</v>
      </c>
      <c r="I13" s="298">
        <f>IF(G13=0,0,$C13/(G13*365))</f>
        <v>0.73607305936073064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4699</v>
      </c>
      <c r="D16" s="296">
        <v>574</v>
      </c>
      <c r="E16" s="296">
        <v>569</v>
      </c>
      <c r="F16" s="297">
        <v>18</v>
      </c>
      <c r="G16" s="297">
        <v>20</v>
      </c>
      <c r="H16" s="298">
        <f t="shared" si="0"/>
        <v>0.71522070015220696</v>
      </c>
      <c r="I16" s="298">
        <f t="shared" si="0"/>
        <v>0.64369863013698625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4699</v>
      </c>
      <c r="D17" s="300">
        <f>SUM(D15:D16)</f>
        <v>574</v>
      </c>
      <c r="E17" s="300">
        <f>SUM(E15:E16)</f>
        <v>569</v>
      </c>
      <c r="F17" s="300">
        <f>SUM(F15:F16)</f>
        <v>18</v>
      </c>
      <c r="G17" s="300">
        <f>SUM(G15:G16)</f>
        <v>20</v>
      </c>
      <c r="H17" s="301">
        <f t="shared" si="0"/>
        <v>0.71522070015220696</v>
      </c>
      <c r="I17" s="301">
        <f t="shared" si="0"/>
        <v>0.64369863013698625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2066</v>
      </c>
      <c r="D21" s="296">
        <v>923</v>
      </c>
      <c r="E21" s="296">
        <v>880</v>
      </c>
      <c r="F21" s="297">
        <v>15</v>
      </c>
      <c r="G21" s="297">
        <v>15</v>
      </c>
      <c r="H21" s="298">
        <f>IF(F21=0,0,$C21/(F21*365))</f>
        <v>0.37735159817351599</v>
      </c>
      <c r="I21" s="298">
        <f>IF(G21=0,0,$C21/(G21*365))</f>
        <v>0.37735159817351599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1896</v>
      </c>
      <c r="D23" s="296">
        <v>919</v>
      </c>
      <c r="E23" s="296">
        <v>916</v>
      </c>
      <c r="F23" s="297">
        <v>18</v>
      </c>
      <c r="G23" s="297">
        <v>20</v>
      </c>
      <c r="H23" s="298">
        <f>IF(F23=0,0,$C23/(F23*365))</f>
        <v>0.28858447488584477</v>
      </c>
      <c r="I23" s="298">
        <f>IF(G23=0,0,$C23/(G23*365))</f>
        <v>0.25972602739726025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47465</v>
      </c>
      <c r="D31" s="300">
        <f>SUM(D10:D29)-D13-D17-D23</f>
        <v>10992</v>
      </c>
      <c r="E31" s="300">
        <f>SUM(E10:E29)-E17-E23</f>
        <v>10974</v>
      </c>
      <c r="F31" s="300">
        <f>SUM(F10:F29)-F17-F23</f>
        <v>183</v>
      </c>
      <c r="G31" s="300">
        <f>SUM(G10:G29)-G17-G23</f>
        <v>213</v>
      </c>
      <c r="H31" s="301">
        <f>IF(F31=0,0,$C31/(F31*365))</f>
        <v>0.71060708136836592</v>
      </c>
      <c r="I31" s="301">
        <f>IF(G31=0,0,$C31/(G31*365))</f>
        <v>0.61052157695028619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49361</v>
      </c>
      <c r="D33" s="300">
        <f>SUM(D10:D29)-D13-D17</f>
        <v>11911</v>
      </c>
      <c r="E33" s="300">
        <f>SUM(E10:E29)-E17</f>
        <v>11890</v>
      </c>
      <c r="F33" s="300">
        <f>SUM(F10:F29)-F17</f>
        <v>201</v>
      </c>
      <c r="G33" s="300">
        <f>SUM(G10:G29)-G17</f>
        <v>233</v>
      </c>
      <c r="H33" s="301">
        <f>IF(F33=0,0,$C33/(F33*365))</f>
        <v>0.67281401213112524</v>
      </c>
      <c r="I33" s="301">
        <f>IF(G33=0,0,$C33/(G33*365))</f>
        <v>0.58041037098006942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49361</v>
      </c>
      <c r="D36" s="300">
        <f t="shared" si="1"/>
        <v>11911</v>
      </c>
      <c r="E36" s="300">
        <f t="shared" si="1"/>
        <v>11890</v>
      </c>
      <c r="F36" s="300">
        <f t="shared" si="1"/>
        <v>201</v>
      </c>
      <c r="G36" s="300">
        <f t="shared" si="1"/>
        <v>233</v>
      </c>
      <c r="H36" s="301">
        <f t="shared" si="1"/>
        <v>0.67281401213112524</v>
      </c>
      <c r="I36" s="301">
        <f t="shared" si="1"/>
        <v>0.58041037098006942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49654</v>
      </c>
      <c r="D37" s="300">
        <v>11999</v>
      </c>
      <c r="E37" s="300">
        <v>11992</v>
      </c>
      <c r="F37" s="302">
        <v>202</v>
      </c>
      <c r="G37" s="302">
        <v>233</v>
      </c>
      <c r="H37" s="301">
        <f>IF(F37=0,0,$C37/(F37*365))</f>
        <v>0.67345720873457204</v>
      </c>
      <c r="I37" s="301">
        <f>IF(G37=0,0,$C37/(G37*365))</f>
        <v>0.58385560585572349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-293</v>
      </c>
      <c r="D38" s="300">
        <f t="shared" si="2"/>
        <v>-88</v>
      </c>
      <c r="E38" s="300">
        <f t="shared" si="2"/>
        <v>-102</v>
      </c>
      <c r="F38" s="300">
        <f t="shared" si="2"/>
        <v>-1</v>
      </c>
      <c r="G38" s="300">
        <f t="shared" si="2"/>
        <v>0</v>
      </c>
      <c r="H38" s="301">
        <f t="shared" si="2"/>
        <v>-6.4319660344680507E-4</v>
      </c>
      <c r="I38" s="301">
        <f t="shared" si="2"/>
        <v>-3.4452348756540685E-3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-5.9008337696862291E-3</v>
      </c>
      <c r="D40" s="148">
        <f t="shared" si="3"/>
        <v>-7.3339444953746148E-3</v>
      </c>
      <c r="E40" s="148">
        <f t="shared" si="3"/>
        <v>-8.5056704469646423E-3</v>
      </c>
      <c r="F40" s="148">
        <f t="shared" si="3"/>
        <v>-4.9504950495049506E-3</v>
      </c>
      <c r="G40" s="148">
        <f t="shared" si="3"/>
        <v>0</v>
      </c>
      <c r="H40" s="148">
        <f t="shared" si="3"/>
        <v>-9.5506677351538528E-4</v>
      </c>
      <c r="I40" s="148">
        <f t="shared" si="3"/>
        <v>-5.9008337696862334E-3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233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r:id="rId1"/>
  <headerFooter>
    <oddHeader>&amp;LOFFICE OF HEALTH CARE ACCESS&amp;CTWELVE MONTHS ACTUAL FILING&amp;RWILLIAM W. BACKUS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7810</v>
      </c>
      <c r="D12" s="296">
        <v>7830</v>
      </c>
      <c r="E12" s="296">
        <f>+D12-C12</f>
        <v>20</v>
      </c>
      <c r="F12" s="316">
        <f>IF(C12=0,0,+E12/C12)</f>
        <v>2.5608194622279128E-3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13339</v>
      </c>
      <c r="D13" s="296">
        <v>13282</v>
      </c>
      <c r="E13" s="296">
        <f>+D13-C13</f>
        <v>-57</v>
      </c>
      <c r="F13" s="316">
        <f>IF(C13=0,0,+E13/C13)</f>
        <v>-4.2731838968438412E-3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10882</v>
      </c>
      <c r="D14" s="296">
        <v>11251</v>
      </c>
      <c r="E14" s="296">
        <f>+D14-C14</f>
        <v>369</v>
      </c>
      <c r="F14" s="316">
        <f>IF(C14=0,0,+E14/C14)</f>
        <v>3.3909207866201066E-2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32031</v>
      </c>
      <c r="D16" s="300">
        <f>SUM(D12:D15)</f>
        <v>32363</v>
      </c>
      <c r="E16" s="300">
        <f>+D16-C16</f>
        <v>332</v>
      </c>
      <c r="F16" s="309">
        <f>IF(C16=0,0,+E16/C16)</f>
        <v>1.0364958946021042E-2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1087</v>
      </c>
      <c r="D19" s="296">
        <v>1037</v>
      </c>
      <c r="E19" s="296">
        <f>+D19-C19</f>
        <v>-50</v>
      </c>
      <c r="F19" s="316">
        <f>IF(C19=0,0,+E19/C19)</f>
        <v>-4.5998160073597055E-2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9259</v>
      </c>
      <c r="D20" s="296">
        <v>9062</v>
      </c>
      <c r="E20" s="296">
        <f>+D20-C20</f>
        <v>-197</v>
      </c>
      <c r="F20" s="316">
        <f>IF(C20=0,0,+E20/C20)</f>
        <v>-2.1276595744680851E-2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310</v>
      </c>
      <c r="D21" s="296">
        <v>295</v>
      </c>
      <c r="E21" s="296">
        <f>+D21-C21</f>
        <v>-15</v>
      </c>
      <c r="F21" s="316">
        <f>IF(C21=0,0,+E21/C21)</f>
        <v>-4.8387096774193547E-2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10656</v>
      </c>
      <c r="D23" s="300">
        <f>SUM(D19:D22)</f>
        <v>10394</v>
      </c>
      <c r="E23" s="300">
        <f>+D23-C23</f>
        <v>-262</v>
      </c>
      <c r="F23" s="309">
        <f>IF(C23=0,0,+E23/C23)</f>
        <v>-2.4587087087087088E-2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11</v>
      </c>
      <c r="D33" s="296">
        <v>8</v>
      </c>
      <c r="E33" s="296">
        <f>+D33-C33</f>
        <v>-3</v>
      </c>
      <c r="F33" s="316">
        <f>IF(C33=0,0,+E33/C33)</f>
        <v>-0.27272727272727271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781</v>
      </c>
      <c r="D34" s="296">
        <v>743</v>
      </c>
      <c r="E34" s="296">
        <f>+D34-C34</f>
        <v>-38</v>
      </c>
      <c r="F34" s="316">
        <f>IF(C34=0,0,+E34/C34)</f>
        <v>-4.8655569782330349E-2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792</v>
      </c>
      <c r="D37" s="300">
        <f>SUM(D33:D36)</f>
        <v>751</v>
      </c>
      <c r="E37" s="300">
        <f>+D37-C37</f>
        <v>-41</v>
      </c>
      <c r="F37" s="309">
        <f>IF(C37=0,0,+E37/C37)</f>
        <v>-5.1767676767676768E-2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426</v>
      </c>
      <c r="D43" s="296">
        <v>348</v>
      </c>
      <c r="E43" s="296">
        <f>+D43-C43</f>
        <v>-78</v>
      </c>
      <c r="F43" s="316">
        <f>IF(C43=0,0,+E43/C43)</f>
        <v>-0.18309859154929578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9767</v>
      </c>
      <c r="D44" s="296">
        <v>11458</v>
      </c>
      <c r="E44" s="296">
        <f>+D44-C44</f>
        <v>1691</v>
      </c>
      <c r="F44" s="316">
        <f>IF(C44=0,0,+E44/C44)</f>
        <v>0.17313402272959968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10193</v>
      </c>
      <c r="D45" s="300">
        <f>SUM(D43:D44)</f>
        <v>11806</v>
      </c>
      <c r="E45" s="300">
        <f>+D45-C45</f>
        <v>1613</v>
      </c>
      <c r="F45" s="309">
        <f>IF(C45=0,0,+E45/C45)</f>
        <v>0.15824585499852839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119</v>
      </c>
      <c r="D48" s="296">
        <v>174</v>
      </c>
      <c r="E48" s="296">
        <f>+D48-C48</f>
        <v>55</v>
      </c>
      <c r="F48" s="316">
        <f>IF(C48=0,0,+E48/C48)</f>
        <v>0.46218487394957986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217</v>
      </c>
      <c r="D49" s="296">
        <v>142</v>
      </c>
      <c r="E49" s="296">
        <f>+D49-C49</f>
        <v>-75</v>
      </c>
      <c r="F49" s="316">
        <f>IF(C49=0,0,+E49/C49)</f>
        <v>-0.34562211981566821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336</v>
      </c>
      <c r="D50" s="300">
        <f>SUM(D48:D49)</f>
        <v>316</v>
      </c>
      <c r="E50" s="300">
        <f>+D50-C50</f>
        <v>-20</v>
      </c>
      <c r="F50" s="309">
        <f>IF(C50=0,0,+E50/C50)</f>
        <v>-5.9523809523809521E-2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28</v>
      </c>
      <c r="D58" s="296">
        <v>25</v>
      </c>
      <c r="E58" s="296">
        <f>+D58-C58</f>
        <v>-3</v>
      </c>
      <c r="F58" s="316">
        <f>IF(C58=0,0,+E58/C58)</f>
        <v>-0.10714285714285714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40</v>
      </c>
      <c r="D59" s="296">
        <v>23</v>
      </c>
      <c r="E59" s="296">
        <f>+D59-C59</f>
        <v>-17</v>
      </c>
      <c r="F59" s="316">
        <f>IF(C59=0,0,+E59/C59)</f>
        <v>-0.42499999999999999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68</v>
      </c>
      <c r="D60" s="300">
        <f>SUM(D58:D59)</f>
        <v>48</v>
      </c>
      <c r="E60" s="300">
        <f>SUM(E58:E59)</f>
        <v>-20</v>
      </c>
      <c r="F60" s="309">
        <f>IF(C60=0,0,+E60/C60)</f>
        <v>-0.29411764705882354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3152</v>
      </c>
      <c r="D63" s="296">
        <v>2921</v>
      </c>
      <c r="E63" s="296">
        <f>+D63-C63</f>
        <v>-231</v>
      </c>
      <c r="F63" s="316">
        <f>IF(C63=0,0,+E63/C63)</f>
        <v>-7.3286802030456857E-2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7347</v>
      </c>
      <c r="D64" s="296">
        <v>6968</v>
      </c>
      <c r="E64" s="296">
        <f>+D64-C64</f>
        <v>-379</v>
      </c>
      <c r="F64" s="316">
        <f>IF(C64=0,0,+E64/C64)</f>
        <v>-5.1585681230434194E-2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10499</v>
      </c>
      <c r="D65" s="300">
        <f>SUM(D63:D64)</f>
        <v>9889</v>
      </c>
      <c r="E65" s="300">
        <f>+D65-C65</f>
        <v>-610</v>
      </c>
      <c r="F65" s="309">
        <f>IF(C65=0,0,+E65/C65)</f>
        <v>-5.8100771502047815E-2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518</v>
      </c>
      <c r="D68" s="296">
        <v>409</v>
      </c>
      <c r="E68" s="296">
        <f>+D68-C68</f>
        <v>-109</v>
      </c>
      <c r="F68" s="316">
        <f>IF(C68=0,0,+E68/C68)</f>
        <v>-0.21042471042471042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2069</v>
      </c>
      <c r="D69" s="296">
        <v>2443</v>
      </c>
      <c r="E69" s="296">
        <f>+D69-C69</f>
        <v>374</v>
      </c>
      <c r="F69" s="318">
        <f>IF(C69=0,0,+E69/C69)</f>
        <v>0.18076365393910102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2587</v>
      </c>
      <c r="D70" s="300">
        <f>SUM(D68:D69)</f>
        <v>2852</v>
      </c>
      <c r="E70" s="300">
        <f>+D70-C70</f>
        <v>265</v>
      </c>
      <c r="F70" s="309">
        <f>IF(C70=0,0,+E70/C70)</f>
        <v>0.10243525318902204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6846</v>
      </c>
      <c r="D73" s="319">
        <v>7364</v>
      </c>
      <c r="E73" s="296">
        <f>+D73-C73</f>
        <v>518</v>
      </c>
      <c r="F73" s="316">
        <f>IF(C73=0,0,+E73/C73)</f>
        <v>7.5664621676891614E-2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56352</v>
      </c>
      <c r="D74" s="319">
        <v>60738</v>
      </c>
      <c r="E74" s="296">
        <f>+D74-C74</f>
        <v>4386</v>
      </c>
      <c r="F74" s="316">
        <f>IF(C74=0,0,+E74/C74)</f>
        <v>7.783219761499148E-2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63198</v>
      </c>
      <c r="D75" s="300">
        <f>SUM(D73:D74)</f>
        <v>68102</v>
      </c>
      <c r="E75" s="300">
        <f>SUM(E73:E74)</f>
        <v>4904</v>
      </c>
      <c r="F75" s="309">
        <f>IF(C75=0,0,+E75/C75)</f>
        <v>7.7597392322541855E-2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19490</v>
      </c>
      <c r="D81" s="319">
        <v>17357</v>
      </c>
      <c r="E81" s="296">
        <f t="shared" si="0"/>
        <v>-2133</v>
      </c>
      <c r="F81" s="316">
        <f t="shared" si="1"/>
        <v>-0.10944073884043098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56774</v>
      </c>
      <c r="D83" s="319">
        <v>45552</v>
      </c>
      <c r="E83" s="296">
        <f t="shared" si="0"/>
        <v>-11222</v>
      </c>
      <c r="F83" s="316">
        <f t="shared" si="1"/>
        <v>-0.19766090111670837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76264</v>
      </c>
      <c r="D84" s="320">
        <f>SUM(D79:D83)</f>
        <v>62909</v>
      </c>
      <c r="E84" s="300">
        <f t="shared" si="0"/>
        <v>-13355</v>
      </c>
      <c r="F84" s="309">
        <f t="shared" si="1"/>
        <v>-0.1751153886499528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15315</v>
      </c>
      <c r="D87" s="322">
        <v>15833</v>
      </c>
      <c r="E87" s="323">
        <f t="shared" ref="E87:E92" si="2">+D87-C87</f>
        <v>518</v>
      </c>
      <c r="F87" s="318">
        <f t="shared" ref="F87:F92" si="3">IF(C87=0,0,+E87/C87)</f>
        <v>3.3823049298073782E-2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6015</v>
      </c>
      <c r="D88" s="322">
        <v>5290</v>
      </c>
      <c r="E88" s="296">
        <f t="shared" si="2"/>
        <v>-725</v>
      </c>
      <c r="F88" s="316">
        <f t="shared" si="3"/>
        <v>-0.12053200332502079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2364</v>
      </c>
      <c r="D89" s="322">
        <v>2955</v>
      </c>
      <c r="E89" s="296">
        <f t="shared" si="2"/>
        <v>591</v>
      </c>
      <c r="F89" s="316">
        <f t="shared" si="3"/>
        <v>0.25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172664</v>
      </c>
      <c r="D91" s="322">
        <v>186307</v>
      </c>
      <c r="E91" s="296">
        <f t="shared" si="2"/>
        <v>13643</v>
      </c>
      <c r="F91" s="316">
        <f t="shared" si="3"/>
        <v>7.9014733818282903E-2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196358</v>
      </c>
      <c r="D92" s="320">
        <f>SUM(D87:D91)</f>
        <v>210385</v>
      </c>
      <c r="E92" s="300">
        <f t="shared" si="2"/>
        <v>14027</v>
      </c>
      <c r="F92" s="309">
        <f t="shared" si="3"/>
        <v>7.1435846769675793E-2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455.6</v>
      </c>
      <c r="D96" s="325">
        <v>460</v>
      </c>
      <c r="E96" s="326">
        <f>+D96-C96</f>
        <v>4.3999999999999773</v>
      </c>
      <c r="F96" s="316">
        <f>IF(C96=0,0,+E96/C96)</f>
        <v>9.6575943810359461E-3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36.299999999999997</v>
      </c>
      <c r="D97" s="325">
        <v>37</v>
      </c>
      <c r="E97" s="326">
        <f>+D97-C97</f>
        <v>0.70000000000000284</v>
      </c>
      <c r="F97" s="316">
        <f>IF(C97=0,0,+E97/C97)</f>
        <v>1.928374655647391E-2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1022</v>
      </c>
      <c r="D98" s="325">
        <v>1045.8</v>
      </c>
      <c r="E98" s="326">
        <f>+D98-C98</f>
        <v>23.799999999999955</v>
      </c>
      <c r="F98" s="316">
        <f>IF(C98=0,0,+E98/C98)</f>
        <v>2.3287671232876669E-2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1513.9</v>
      </c>
      <c r="D99" s="327">
        <f>SUM(D96:D98)</f>
        <v>1542.8</v>
      </c>
      <c r="E99" s="327">
        <f>+D99-C99</f>
        <v>28.899999999999864</v>
      </c>
      <c r="F99" s="309">
        <f>IF(C99=0,0,+E99/C99)</f>
        <v>1.9089768148490564E-2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FILING&amp;RWILLIAM W. BACKUS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7347</v>
      </c>
      <c r="D12" s="296">
        <v>6968</v>
      </c>
      <c r="E12" s="296">
        <f>+D12-C12</f>
        <v>-379</v>
      </c>
      <c r="F12" s="316">
        <f>IF(C12=0,0,+E12/C12)</f>
        <v>-5.1585681230434194E-2</v>
      </c>
    </row>
    <row r="13" spans="1:16" ht="15.75" customHeight="1" x14ac:dyDescent="0.25">
      <c r="A13" s="294"/>
      <c r="B13" s="135" t="s">
        <v>602</v>
      </c>
      <c r="C13" s="300">
        <f>SUM(C11:C12)</f>
        <v>7347</v>
      </c>
      <c r="D13" s="300">
        <f>SUM(D11:D12)</f>
        <v>6968</v>
      </c>
      <c r="E13" s="300">
        <f>+D13-C13</f>
        <v>-379</v>
      </c>
      <c r="F13" s="309">
        <f>IF(C13=0,0,+E13/C13)</f>
        <v>-5.1585681230434194E-2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2069</v>
      </c>
      <c r="D16" s="296">
        <v>2443</v>
      </c>
      <c r="E16" s="296">
        <f>+D16-C16</f>
        <v>374</v>
      </c>
      <c r="F16" s="316">
        <f>IF(C16=0,0,+E16/C16)</f>
        <v>0.18076365393910102</v>
      </c>
    </row>
    <row r="17" spans="1:6" ht="15.75" customHeight="1" x14ac:dyDescent="0.25">
      <c r="A17" s="294"/>
      <c r="B17" s="135" t="s">
        <v>603</v>
      </c>
      <c r="C17" s="300">
        <f>SUM(C15:C16)</f>
        <v>2069</v>
      </c>
      <c r="D17" s="300">
        <f>SUM(D15:D16)</f>
        <v>2443</v>
      </c>
      <c r="E17" s="300">
        <f>+D17-C17</f>
        <v>374</v>
      </c>
      <c r="F17" s="309">
        <f>IF(C17=0,0,+E17/C17)</f>
        <v>0.18076365393910102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601</v>
      </c>
      <c r="C20" s="296">
        <v>56352</v>
      </c>
      <c r="D20" s="296">
        <v>56987</v>
      </c>
      <c r="E20" s="296">
        <f>+D20-C20</f>
        <v>635</v>
      </c>
      <c r="F20" s="316">
        <f>IF(C20=0,0,+E20/C20)</f>
        <v>1.1268455423055082E-2</v>
      </c>
    </row>
    <row r="21" spans="1:6" ht="15.75" customHeight="1" x14ac:dyDescent="0.2">
      <c r="A21" s="294">
        <v>2</v>
      </c>
      <c r="B21" s="295" t="s">
        <v>605</v>
      </c>
      <c r="C21" s="296">
        <v>0</v>
      </c>
      <c r="D21" s="296">
        <v>3751</v>
      </c>
      <c r="E21" s="296">
        <f>+D21-C21</f>
        <v>3751</v>
      </c>
      <c r="F21" s="316">
        <f>IF(C21=0,0,+E21/C21)</f>
        <v>0</v>
      </c>
    </row>
    <row r="22" spans="1:6" ht="15.75" customHeight="1" x14ac:dyDescent="0.25">
      <c r="A22" s="294"/>
      <c r="B22" s="135" t="s">
        <v>606</v>
      </c>
      <c r="C22" s="300">
        <f>SUM(C19:C21)</f>
        <v>56352</v>
      </c>
      <c r="D22" s="300">
        <f>SUM(D19:D21)</f>
        <v>60738</v>
      </c>
      <c r="E22" s="300">
        <f>+D22-C22</f>
        <v>4386</v>
      </c>
      <c r="F22" s="309">
        <f>IF(C22=0,0,+E22/C22)</f>
        <v>7.783219761499148E-2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607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608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609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FILING&amp;RWILLIAM W. BACKUS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610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611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612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613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614</v>
      </c>
      <c r="D7" s="341" t="s">
        <v>614</v>
      </c>
      <c r="E7" s="341" t="s">
        <v>615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616</v>
      </c>
      <c r="D8" s="344" t="s">
        <v>617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620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621</v>
      </c>
      <c r="C15" s="361">
        <v>122661517</v>
      </c>
      <c r="D15" s="361">
        <v>125132685</v>
      </c>
      <c r="E15" s="361">
        <f t="shared" ref="E15:E24" si="0">D15-C15</f>
        <v>2471168</v>
      </c>
      <c r="F15" s="362">
        <f t="shared" ref="F15:F24" si="1">IF(C15=0,0,E15/C15)</f>
        <v>2.0146237063088011E-2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622</v>
      </c>
      <c r="C16" s="361">
        <v>51533821</v>
      </c>
      <c r="D16" s="361">
        <v>62107906</v>
      </c>
      <c r="E16" s="361">
        <f t="shared" si="0"/>
        <v>10574085</v>
      </c>
      <c r="F16" s="362">
        <f t="shared" si="1"/>
        <v>0.20518728855754748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623</v>
      </c>
      <c r="C17" s="366">
        <f>IF(C15=0,0,C16/C15)</f>
        <v>0.42013030867700746</v>
      </c>
      <c r="D17" s="366">
        <f>IF(LN_IA1=0,0,LN_IA2/LN_IA1)</f>
        <v>0.49633639684148073</v>
      </c>
      <c r="E17" s="367">
        <f t="shared" si="0"/>
        <v>7.6206088164473273E-2</v>
      </c>
      <c r="F17" s="362">
        <f t="shared" si="1"/>
        <v>0.18138679021860299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5200</v>
      </c>
      <c r="D18" s="369">
        <v>5508</v>
      </c>
      <c r="E18" s="369">
        <f t="shared" si="0"/>
        <v>308</v>
      </c>
      <c r="F18" s="362">
        <f t="shared" si="1"/>
        <v>5.9230769230769233E-2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624</v>
      </c>
      <c r="C19" s="372">
        <v>1.4507000000000001</v>
      </c>
      <c r="D19" s="372">
        <v>1.3653999999999999</v>
      </c>
      <c r="E19" s="373">
        <f t="shared" si="0"/>
        <v>-8.5300000000000153E-2</v>
      </c>
      <c r="F19" s="362">
        <f t="shared" si="1"/>
        <v>-5.8799200386020642E-2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625</v>
      </c>
      <c r="C20" s="376">
        <f>C18*C19</f>
        <v>7543.64</v>
      </c>
      <c r="D20" s="376">
        <f>LN_IA4*LN_IA5</f>
        <v>7520.6232</v>
      </c>
      <c r="E20" s="376">
        <f t="shared" si="0"/>
        <v>-23.01680000000033</v>
      </c>
      <c r="F20" s="362">
        <f t="shared" si="1"/>
        <v>-3.0511530242694944E-3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626</v>
      </c>
      <c r="C21" s="378">
        <f>IF(C20=0,0,C16/C20)</f>
        <v>6831.426340599498</v>
      </c>
      <c r="D21" s="378">
        <f>IF(LN_IA6=0,0,LN_IA2/LN_IA6)</f>
        <v>8258.3456647582079</v>
      </c>
      <c r="E21" s="378">
        <f t="shared" si="0"/>
        <v>1426.91932415871</v>
      </c>
      <c r="F21" s="362">
        <f t="shared" si="1"/>
        <v>0.20887575346870962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25583</v>
      </c>
      <c r="D22" s="369">
        <v>26918</v>
      </c>
      <c r="E22" s="369">
        <f t="shared" si="0"/>
        <v>1335</v>
      </c>
      <c r="F22" s="362">
        <f t="shared" si="1"/>
        <v>5.2183090333424539E-2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627</v>
      </c>
      <c r="C23" s="378">
        <f>IF(C22=0,0,C16/C22)</f>
        <v>2014.3775554078879</v>
      </c>
      <c r="D23" s="378">
        <f>IF(LN_IA8=0,0,LN_IA2/LN_IA8)</f>
        <v>2307.3001708893676</v>
      </c>
      <c r="E23" s="378">
        <f t="shared" si="0"/>
        <v>292.92261548147962</v>
      </c>
      <c r="F23" s="362">
        <f t="shared" si="1"/>
        <v>0.14541594483868553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628</v>
      </c>
      <c r="C24" s="379">
        <f>IF(C18=0,0,C22/C18)</f>
        <v>4.9198076923076925</v>
      </c>
      <c r="D24" s="379">
        <f>IF(LN_IA4=0,0,LN_IA8/LN_IA4)</f>
        <v>4.8870733478576618</v>
      </c>
      <c r="E24" s="379">
        <f t="shared" si="0"/>
        <v>-3.2734344450030761E-2</v>
      </c>
      <c r="F24" s="362">
        <f t="shared" si="1"/>
        <v>-6.65358211078294E-3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630</v>
      </c>
      <c r="C27" s="361">
        <v>107995681</v>
      </c>
      <c r="D27" s="361">
        <v>121311471</v>
      </c>
      <c r="E27" s="361">
        <f t="shared" ref="E27:E32" si="2">D27-C27</f>
        <v>13315790</v>
      </c>
      <c r="F27" s="362">
        <f t="shared" ref="F27:F32" si="3">IF(C27=0,0,E27/C27)</f>
        <v>0.12329928268149909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631</v>
      </c>
      <c r="C28" s="361">
        <v>27092973</v>
      </c>
      <c r="D28" s="361">
        <v>29749794</v>
      </c>
      <c r="E28" s="361">
        <f t="shared" si="2"/>
        <v>2656821</v>
      </c>
      <c r="F28" s="362">
        <f t="shared" si="3"/>
        <v>9.8063102930785781E-2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632</v>
      </c>
      <c r="C29" s="366">
        <f>IF(C27=0,0,C28/C27)</f>
        <v>0.25087089362397741</v>
      </c>
      <c r="D29" s="366">
        <f>IF(LN_IA11=0,0,LN_IA12/LN_IA11)</f>
        <v>0.24523479729299466</v>
      </c>
      <c r="E29" s="367">
        <f t="shared" si="2"/>
        <v>-5.6360963309827483E-3</v>
      </c>
      <c r="F29" s="362">
        <f t="shared" si="3"/>
        <v>-2.246612291113579E-2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633</v>
      </c>
      <c r="C30" s="366">
        <f>IF(C15=0,0,C27/C15)</f>
        <v>0.88043653495659935</v>
      </c>
      <c r="D30" s="366">
        <f>IF(LN_IA1=0,0,LN_IA11/LN_IA1)</f>
        <v>0.96946270273030588</v>
      </c>
      <c r="E30" s="367">
        <f t="shared" si="2"/>
        <v>8.9026167773706533E-2</v>
      </c>
      <c r="F30" s="362">
        <f t="shared" si="3"/>
        <v>0.10111593992188776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634</v>
      </c>
      <c r="C31" s="376">
        <f>C30*C18</f>
        <v>4578.2699817743169</v>
      </c>
      <c r="D31" s="376">
        <f>LN_IA14*LN_IA4</f>
        <v>5339.8005666385252</v>
      </c>
      <c r="E31" s="376">
        <f t="shared" si="2"/>
        <v>761.53058486420832</v>
      </c>
      <c r="F31" s="362">
        <f t="shared" si="3"/>
        <v>0.16633588405572267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635</v>
      </c>
      <c r="C32" s="378">
        <f>IF(C31=0,0,C28/C31)</f>
        <v>5917.7316121274416</v>
      </c>
      <c r="D32" s="378">
        <f>IF(LN_IA15=0,0,LN_IA12/LN_IA15)</f>
        <v>5571.3305447899693</v>
      </c>
      <c r="E32" s="378">
        <f t="shared" si="2"/>
        <v>-346.40106733747234</v>
      </c>
      <c r="F32" s="362">
        <f t="shared" si="3"/>
        <v>-5.8536123305690128E-2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637</v>
      </c>
      <c r="C35" s="361">
        <f>C15+C27</f>
        <v>230657198</v>
      </c>
      <c r="D35" s="361">
        <f>LN_IA1+LN_IA11</f>
        <v>246444156</v>
      </c>
      <c r="E35" s="361">
        <f>D35-C35</f>
        <v>15786958</v>
      </c>
      <c r="F35" s="362">
        <f>IF(C35=0,0,E35/C35)</f>
        <v>6.8443378905521948E-2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638</v>
      </c>
      <c r="C36" s="361">
        <f>C16+C28</f>
        <v>78626794</v>
      </c>
      <c r="D36" s="361">
        <f>LN_IA2+LN_IA12</f>
        <v>91857700</v>
      </c>
      <c r="E36" s="361">
        <f>D36-C36</f>
        <v>13230906</v>
      </c>
      <c r="F36" s="362">
        <f>IF(C36=0,0,E36/C36)</f>
        <v>0.16827477411834954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639</v>
      </c>
      <c r="C37" s="361">
        <f>C35-C36</f>
        <v>152030404</v>
      </c>
      <c r="D37" s="361">
        <f>LN_IA17-LN_IA18</f>
        <v>154586456</v>
      </c>
      <c r="E37" s="361">
        <f>D37-C37</f>
        <v>2556052</v>
      </c>
      <c r="F37" s="362">
        <f>IF(C37=0,0,E37/C37)</f>
        <v>1.6812768582789531E-2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621</v>
      </c>
      <c r="C42" s="361">
        <v>80104999</v>
      </c>
      <c r="D42" s="361">
        <v>70979090</v>
      </c>
      <c r="E42" s="361">
        <f t="shared" ref="E42:E53" si="4">D42-C42</f>
        <v>-9125909</v>
      </c>
      <c r="F42" s="362">
        <f t="shared" ref="F42:F53" si="5">IF(C42=0,0,E42/C42)</f>
        <v>-0.11392433823012718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622</v>
      </c>
      <c r="C43" s="361">
        <v>60420640</v>
      </c>
      <c r="D43" s="361">
        <v>56354783</v>
      </c>
      <c r="E43" s="361">
        <f t="shared" si="4"/>
        <v>-4065857</v>
      </c>
      <c r="F43" s="362">
        <f t="shared" si="5"/>
        <v>-6.7292517921028305E-2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623</v>
      </c>
      <c r="C44" s="366">
        <f>IF(C42=0,0,C43/C42)</f>
        <v>0.75426803263551634</v>
      </c>
      <c r="D44" s="366">
        <f>IF(LN_IB1=0,0,LN_IB2/LN_IB1)</f>
        <v>0.79396316577177872</v>
      </c>
      <c r="E44" s="367">
        <f t="shared" si="4"/>
        <v>3.9695133136262384E-2</v>
      </c>
      <c r="F44" s="362">
        <f t="shared" si="5"/>
        <v>5.2627357144597688E-2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4178</v>
      </c>
      <c r="D45" s="369">
        <v>3836</v>
      </c>
      <c r="E45" s="369">
        <f t="shared" si="4"/>
        <v>-342</v>
      </c>
      <c r="F45" s="362">
        <f t="shared" si="5"/>
        <v>-8.1857348013403539E-2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624</v>
      </c>
      <c r="C46" s="372">
        <v>1.2574000000000001</v>
      </c>
      <c r="D46" s="372">
        <v>1.2529999999999999</v>
      </c>
      <c r="E46" s="373">
        <f t="shared" si="4"/>
        <v>-4.4000000000001815E-3</v>
      </c>
      <c r="F46" s="362">
        <f t="shared" si="5"/>
        <v>-3.4992842373152387E-3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625</v>
      </c>
      <c r="C47" s="376">
        <f>C45*C46</f>
        <v>5253.4171999999999</v>
      </c>
      <c r="D47" s="376">
        <f>LN_IB4*LN_IB5</f>
        <v>4806.5079999999998</v>
      </c>
      <c r="E47" s="376">
        <f t="shared" si="4"/>
        <v>-446.90920000000006</v>
      </c>
      <c r="F47" s="362">
        <f t="shared" si="5"/>
        <v>-8.5070190123106931E-2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626</v>
      </c>
      <c r="C48" s="378">
        <f>IF(C47=0,0,C43/C47)</f>
        <v>11501.207252300464</v>
      </c>
      <c r="D48" s="378">
        <f>IF(LN_IB6=0,0,LN_IB2/LN_IB6)</f>
        <v>11724.683075530094</v>
      </c>
      <c r="E48" s="378">
        <f t="shared" si="4"/>
        <v>223.4758232296299</v>
      </c>
      <c r="F48" s="362">
        <f t="shared" si="5"/>
        <v>1.9430640482105077E-2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642</v>
      </c>
      <c r="C49" s="378">
        <f>C21-C48</f>
        <v>-4669.7809117009665</v>
      </c>
      <c r="D49" s="378">
        <f>LN_IA7-LN_IB7</f>
        <v>-3466.3374107718864</v>
      </c>
      <c r="E49" s="378">
        <f t="shared" si="4"/>
        <v>1203.4435009290801</v>
      </c>
      <c r="F49" s="362">
        <f t="shared" si="5"/>
        <v>-0.2577087712859587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643</v>
      </c>
      <c r="C50" s="391">
        <f>C49*C47</f>
        <v>-24532307.361761536</v>
      </c>
      <c r="D50" s="391">
        <f>LN_IB8*LN_IB6</f>
        <v>-16660978.495574357</v>
      </c>
      <c r="E50" s="391">
        <f t="shared" si="4"/>
        <v>7871328.8661871795</v>
      </c>
      <c r="F50" s="362">
        <f t="shared" si="5"/>
        <v>-0.32085562723937683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14019</v>
      </c>
      <c r="D51" s="369">
        <v>12722</v>
      </c>
      <c r="E51" s="369">
        <f t="shared" si="4"/>
        <v>-1297</v>
      </c>
      <c r="F51" s="362">
        <f t="shared" si="5"/>
        <v>-9.2517297952778368E-2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627</v>
      </c>
      <c r="C52" s="378">
        <f>IF(C51=0,0,C43/C51)</f>
        <v>4309.910835294957</v>
      </c>
      <c r="D52" s="378">
        <f>IF(LN_IB10=0,0,LN_IB2/LN_IB10)</f>
        <v>4429.7109731174342</v>
      </c>
      <c r="E52" s="378">
        <f t="shared" si="4"/>
        <v>119.80013782247715</v>
      </c>
      <c r="F52" s="362">
        <f t="shared" si="5"/>
        <v>2.7796430692116257E-2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628</v>
      </c>
      <c r="C53" s="379">
        <f>IF(C45=0,0,C51/C45)</f>
        <v>3.355433221637147</v>
      </c>
      <c r="D53" s="379">
        <f>IF(LN_IB4=0,0,LN_IB10/LN_IB4)</f>
        <v>3.3164754953076119</v>
      </c>
      <c r="E53" s="379">
        <f t="shared" si="4"/>
        <v>-3.8957726329535092E-2</v>
      </c>
      <c r="F53" s="362">
        <f t="shared" si="5"/>
        <v>-1.1610341722291006E-2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630</v>
      </c>
      <c r="C56" s="361">
        <v>178766277</v>
      </c>
      <c r="D56" s="361">
        <v>177802934</v>
      </c>
      <c r="E56" s="361">
        <f t="shared" ref="E56:E63" si="6">D56-C56</f>
        <v>-963343</v>
      </c>
      <c r="F56" s="362">
        <f t="shared" ref="F56:F63" si="7">IF(C56=0,0,E56/C56)</f>
        <v>-5.3888407599381842E-3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631</v>
      </c>
      <c r="C57" s="361">
        <v>98487408</v>
      </c>
      <c r="D57" s="361">
        <v>99051979</v>
      </c>
      <c r="E57" s="361">
        <f t="shared" si="6"/>
        <v>564571</v>
      </c>
      <c r="F57" s="362">
        <f t="shared" si="7"/>
        <v>5.7324180975500951E-3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632</v>
      </c>
      <c r="C58" s="366">
        <f>IF(C56=0,0,C57/C56)</f>
        <v>0.55092833868213298</v>
      </c>
      <c r="D58" s="366">
        <f>IF(LN_IB13=0,0,LN_IB14/LN_IB13)</f>
        <v>0.55708855175584449</v>
      </c>
      <c r="E58" s="367">
        <f t="shared" si="6"/>
        <v>6.1602130737115068E-3</v>
      </c>
      <c r="F58" s="362">
        <f t="shared" si="7"/>
        <v>1.1181514257275739E-2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633</v>
      </c>
      <c r="C59" s="366">
        <f>IF(C42=0,0,C56/C42)</f>
        <v>2.2316494504918474</v>
      </c>
      <c r="D59" s="366">
        <f>IF(LN_IB1=0,0,LN_IB13/LN_IB1)</f>
        <v>2.5050044174981676</v>
      </c>
      <c r="E59" s="367">
        <f t="shared" si="6"/>
        <v>0.27335496700632023</v>
      </c>
      <c r="F59" s="362">
        <f t="shared" si="7"/>
        <v>0.12249010118774424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634</v>
      </c>
      <c r="C60" s="376">
        <f>C59*C45</f>
        <v>9323.8314041549384</v>
      </c>
      <c r="D60" s="376">
        <f>LN_IB16*LN_IB4</f>
        <v>9609.1969455229701</v>
      </c>
      <c r="E60" s="376">
        <f t="shared" si="6"/>
        <v>285.3655413680317</v>
      </c>
      <c r="F60" s="362">
        <f t="shared" si="7"/>
        <v>3.0606038333218413E-2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635</v>
      </c>
      <c r="C61" s="378">
        <f>IF(C60=0,0,C57/C60)</f>
        <v>10562.97606969936</v>
      </c>
      <c r="D61" s="378">
        <f>IF(LN_IB17=0,0,LN_IB14/LN_IB17)</f>
        <v>10308.039221336743</v>
      </c>
      <c r="E61" s="378">
        <f t="shared" si="6"/>
        <v>-254.93684836261673</v>
      </c>
      <c r="F61" s="362">
        <f t="shared" si="7"/>
        <v>-2.4134945178368908E-2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645</v>
      </c>
      <c r="C62" s="378">
        <f>C32-C61</f>
        <v>-4645.2444575719182</v>
      </c>
      <c r="D62" s="378">
        <f>LN_IA16-LN_IB18</f>
        <v>-4736.7086765467739</v>
      </c>
      <c r="E62" s="378">
        <f t="shared" si="6"/>
        <v>-91.464218974855612</v>
      </c>
      <c r="F62" s="362">
        <f t="shared" si="7"/>
        <v>1.9689861278617014E-2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646</v>
      </c>
      <c r="C63" s="361">
        <f>C62*C60</f>
        <v>-43311476.153485723</v>
      </c>
      <c r="D63" s="361">
        <f>LN_IB19*LN_IB17</f>
        <v>-45515966.546505406</v>
      </c>
      <c r="E63" s="361">
        <f t="shared" si="6"/>
        <v>-2204490.3930196837</v>
      </c>
      <c r="F63" s="362">
        <f t="shared" si="7"/>
        <v>5.0898528260904484E-2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637</v>
      </c>
      <c r="C66" s="361">
        <f>C42+C56</f>
        <v>258871276</v>
      </c>
      <c r="D66" s="361">
        <f>LN_IB1+LN_IB13</f>
        <v>248782024</v>
      </c>
      <c r="E66" s="361">
        <f>D66-C66</f>
        <v>-10089252</v>
      </c>
      <c r="F66" s="362">
        <f>IF(C66=0,0,E66/C66)</f>
        <v>-3.8974011160666587E-2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638</v>
      </c>
      <c r="C67" s="361">
        <f>C43+C57</f>
        <v>158908048</v>
      </c>
      <c r="D67" s="361">
        <f>LN_IB2+LN_IB14</f>
        <v>155406762</v>
      </c>
      <c r="E67" s="361">
        <f>D67-C67</f>
        <v>-3501286</v>
      </c>
      <c r="F67" s="362">
        <f>IF(C67=0,0,E67/C67)</f>
        <v>-2.2033408905759135E-2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639</v>
      </c>
      <c r="C68" s="361">
        <f>C66-C67</f>
        <v>99963228</v>
      </c>
      <c r="D68" s="361">
        <f>LN_IB21-LN_IB22</f>
        <v>93375262</v>
      </c>
      <c r="E68" s="361">
        <f>D68-C68</f>
        <v>-6587966</v>
      </c>
      <c r="F68" s="362">
        <f>IF(C68=0,0,E68/C68)</f>
        <v>-6.5903894179967865E-2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648</v>
      </c>
      <c r="C70" s="353">
        <f>C50+C63</f>
        <v>-67843783.515247256</v>
      </c>
      <c r="D70" s="353">
        <f>LN_IB9+LN_IB20</f>
        <v>-62176945.042079762</v>
      </c>
      <c r="E70" s="361">
        <f>D70-C70</f>
        <v>5666838.4731674939</v>
      </c>
      <c r="F70" s="362">
        <f>IF(C70=0,0,E70/C70)</f>
        <v>-8.3527748299797061E-2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650</v>
      </c>
      <c r="C73" s="400">
        <v>231352289</v>
      </c>
      <c r="D73" s="400">
        <v>224371597</v>
      </c>
      <c r="E73" s="400">
        <f>D73-C73</f>
        <v>-6980692</v>
      </c>
      <c r="F73" s="401">
        <f>IF(C73=0,0,E73/C73)</f>
        <v>-3.0173429578645751E-2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651</v>
      </c>
      <c r="C74" s="400">
        <v>154670107</v>
      </c>
      <c r="D74" s="400">
        <v>150837482</v>
      </c>
      <c r="E74" s="400">
        <f>D74-C74</f>
        <v>-3832625</v>
      </c>
      <c r="F74" s="401">
        <f>IF(C74=0,0,E74/C74)</f>
        <v>-2.4779351836874335E-2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653</v>
      </c>
      <c r="C76" s="353">
        <f>C73-C74</f>
        <v>76682182</v>
      </c>
      <c r="D76" s="353">
        <f>LN_IB32-LN_IB33</f>
        <v>73534115</v>
      </c>
      <c r="E76" s="400">
        <f>D76-C76</f>
        <v>-3148067</v>
      </c>
      <c r="F76" s="401">
        <f>IF(C76=0,0,E76/C76)</f>
        <v>-4.105343533390847E-2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654</v>
      </c>
      <c r="C77" s="366">
        <f>IF(C73=0,0,C76/C73)</f>
        <v>0.3314520134270208</v>
      </c>
      <c r="D77" s="366">
        <f>IF(LN_IB1=0,0,LN_IB34/LN_IB32)</f>
        <v>0.32773361683564611</v>
      </c>
      <c r="E77" s="405">
        <f>D77-C77</f>
        <v>-3.7183965913746841E-3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621</v>
      </c>
      <c r="C83" s="361">
        <v>3268265</v>
      </c>
      <c r="D83" s="361">
        <v>2711434</v>
      </c>
      <c r="E83" s="361">
        <f t="shared" ref="E83:E95" si="8">D83-C83</f>
        <v>-556831</v>
      </c>
      <c r="F83" s="362">
        <f t="shared" ref="F83:F95" si="9">IF(C83=0,0,E83/C83)</f>
        <v>-0.17037510728169228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622</v>
      </c>
      <c r="C84" s="361">
        <v>702521</v>
      </c>
      <c r="D84" s="361">
        <v>706485</v>
      </c>
      <c r="E84" s="361">
        <f t="shared" si="8"/>
        <v>3964</v>
      </c>
      <c r="F84" s="362">
        <f t="shared" si="9"/>
        <v>5.6425359526619135E-3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623</v>
      </c>
      <c r="C85" s="366">
        <f>IF(C83=0,0,C84/C83)</f>
        <v>0.2149522759017399</v>
      </c>
      <c r="D85" s="366">
        <f>IF(LN_IC1=0,0,LN_IC2/LN_IC1)</f>
        <v>0.26055769751356661</v>
      </c>
      <c r="E85" s="367">
        <f t="shared" si="8"/>
        <v>4.5605421611826708E-2</v>
      </c>
      <c r="F85" s="362">
        <f t="shared" si="9"/>
        <v>0.21216533493543513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172</v>
      </c>
      <c r="D86" s="369">
        <v>124</v>
      </c>
      <c r="E86" s="369">
        <f t="shared" si="8"/>
        <v>-48</v>
      </c>
      <c r="F86" s="362">
        <f t="shared" si="9"/>
        <v>-0.27906976744186046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624</v>
      </c>
      <c r="C87" s="372">
        <v>1.0202</v>
      </c>
      <c r="D87" s="372">
        <v>1.1507000000000001</v>
      </c>
      <c r="E87" s="373">
        <f t="shared" si="8"/>
        <v>0.13050000000000006</v>
      </c>
      <c r="F87" s="362">
        <f t="shared" si="9"/>
        <v>0.12791609488335626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625</v>
      </c>
      <c r="C88" s="376">
        <f>C86*C87</f>
        <v>175.4744</v>
      </c>
      <c r="D88" s="376">
        <f>LN_IC4*LN_IC5</f>
        <v>142.68680000000001</v>
      </c>
      <c r="E88" s="376">
        <f t="shared" si="8"/>
        <v>-32.787599999999998</v>
      </c>
      <c r="F88" s="362">
        <f t="shared" si="9"/>
        <v>-0.18685118740967341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626</v>
      </c>
      <c r="C89" s="378">
        <f>IF(C88=0,0,C84/C88)</f>
        <v>4003.5526549741726</v>
      </c>
      <c r="D89" s="378">
        <f>IF(LN_IC6=0,0,LN_IC2/LN_IC6)</f>
        <v>4951.2989288427516</v>
      </c>
      <c r="E89" s="378">
        <f t="shared" si="8"/>
        <v>947.74627386857901</v>
      </c>
      <c r="F89" s="362">
        <f t="shared" si="9"/>
        <v>0.23672631673547778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657</v>
      </c>
      <c r="C90" s="378">
        <f>C48-C89</f>
        <v>7497.6545973262919</v>
      </c>
      <c r="D90" s="378">
        <f>LN_IB7-LN_IC7</f>
        <v>6773.3841466873428</v>
      </c>
      <c r="E90" s="378">
        <f t="shared" si="8"/>
        <v>-724.27045063894911</v>
      </c>
      <c r="F90" s="362">
        <f t="shared" si="9"/>
        <v>-9.6599602080526384E-2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658</v>
      </c>
      <c r="C91" s="378">
        <f>C21-C89</f>
        <v>2827.8736856253254</v>
      </c>
      <c r="D91" s="378">
        <f>LN_IA7-LN_IC7</f>
        <v>3307.0467359154563</v>
      </c>
      <c r="E91" s="378">
        <f t="shared" si="8"/>
        <v>479.17305029013096</v>
      </c>
      <c r="F91" s="362">
        <f t="shared" si="9"/>
        <v>0.16944641223752957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643</v>
      </c>
      <c r="C92" s="353">
        <f>C91*C88</f>
        <v>496219.43826089258</v>
      </c>
      <c r="D92" s="353">
        <f>LN_IC9*LN_IC6</f>
        <v>471871.91619822156</v>
      </c>
      <c r="E92" s="353">
        <f t="shared" si="8"/>
        <v>-24347.522062671022</v>
      </c>
      <c r="F92" s="362">
        <f t="shared" si="9"/>
        <v>-4.9066038501035213E-2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697</v>
      </c>
      <c r="D93" s="369">
        <v>595</v>
      </c>
      <c r="E93" s="369">
        <f t="shared" si="8"/>
        <v>-102</v>
      </c>
      <c r="F93" s="362">
        <f t="shared" si="9"/>
        <v>-0.14634146341463414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627</v>
      </c>
      <c r="C94" s="411">
        <f>IF(C93=0,0,C84/C93)</f>
        <v>1007.9210903873744</v>
      </c>
      <c r="D94" s="411">
        <f>IF(LN_IC11=0,0,LN_IC2/LN_IC11)</f>
        <v>1187.3697478991596</v>
      </c>
      <c r="E94" s="411">
        <f t="shared" si="8"/>
        <v>179.4486575117852</v>
      </c>
      <c r="F94" s="362">
        <f t="shared" si="9"/>
        <v>0.17803839925883252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628</v>
      </c>
      <c r="C95" s="379">
        <f>IF(C86=0,0,C93/C86)</f>
        <v>4.0523255813953485</v>
      </c>
      <c r="D95" s="379">
        <f>IF(LN_IC4=0,0,LN_IC11/LN_IC4)</f>
        <v>4.7983870967741939</v>
      </c>
      <c r="E95" s="379">
        <f t="shared" si="8"/>
        <v>0.74606151537884546</v>
      </c>
      <c r="F95" s="362">
        <f t="shared" si="9"/>
        <v>0.18410700236034638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630</v>
      </c>
      <c r="C98" s="361">
        <v>10017380</v>
      </c>
      <c r="D98" s="361">
        <v>10411627</v>
      </c>
      <c r="E98" s="361">
        <f t="shared" ref="E98:E106" si="10">D98-C98</f>
        <v>394247</v>
      </c>
      <c r="F98" s="362">
        <f t="shared" ref="F98:F106" si="11">IF(C98=0,0,E98/C98)</f>
        <v>3.9356298752767686E-2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631</v>
      </c>
      <c r="C99" s="361">
        <v>2365301</v>
      </c>
      <c r="D99" s="361">
        <v>1974665</v>
      </c>
      <c r="E99" s="361">
        <f t="shared" si="10"/>
        <v>-390636</v>
      </c>
      <c r="F99" s="362">
        <f t="shared" si="11"/>
        <v>-0.16515276491237268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632</v>
      </c>
      <c r="C100" s="366">
        <f>IF(C98=0,0,C99/C98)</f>
        <v>0.23611972391982733</v>
      </c>
      <c r="D100" s="366">
        <f>IF(LN_IC14=0,0,LN_IC15/LN_IC14)</f>
        <v>0.18965959883119132</v>
      </c>
      <c r="E100" s="367">
        <f t="shared" si="10"/>
        <v>-4.6460125088636006E-2</v>
      </c>
      <c r="F100" s="362">
        <f t="shared" si="11"/>
        <v>-0.19676511693877463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633</v>
      </c>
      <c r="C101" s="366">
        <f>IF(C83=0,0,C98/C83)</f>
        <v>3.0650452151217848</v>
      </c>
      <c r="D101" s="366">
        <f>IF(LN_IC1=0,0,LN_IC14/LN_IC1)</f>
        <v>3.8398968958860884</v>
      </c>
      <c r="E101" s="367">
        <f t="shared" si="10"/>
        <v>0.77485168076430355</v>
      </c>
      <c r="F101" s="362">
        <f t="shared" si="11"/>
        <v>0.25280269176502701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634</v>
      </c>
      <c r="C102" s="376">
        <f>C101*C86</f>
        <v>527.18777700094699</v>
      </c>
      <c r="D102" s="376">
        <f>LN_IC17*LN_IC4</f>
        <v>476.14721508987498</v>
      </c>
      <c r="E102" s="376">
        <f t="shared" si="10"/>
        <v>-51.040561911072018</v>
      </c>
      <c r="F102" s="362">
        <f t="shared" si="11"/>
        <v>-9.6816664076375833E-2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635</v>
      </c>
      <c r="C103" s="378">
        <f>IF(C102=0,0,C99/C102)</f>
        <v>4486.6385435862467</v>
      </c>
      <c r="D103" s="378">
        <f>IF(LN_IC18=0,0,LN_IC15/LN_IC18)</f>
        <v>4147.1732636875195</v>
      </c>
      <c r="E103" s="378">
        <f t="shared" si="10"/>
        <v>-339.4652798987272</v>
      </c>
      <c r="F103" s="362">
        <f t="shared" si="11"/>
        <v>-7.5661383595074905E-2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660</v>
      </c>
      <c r="C104" s="378">
        <f>C61-C103</f>
        <v>6076.3375261131132</v>
      </c>
      <c r="D104" s="378">
        <f>LN_IB18-LN_IC19</f>
        <v>6160.8659576492237</v>
      </c>
      <c r="E104" s="378">
        <f t="shared" si="10"/>
        <v>84.528431536110475</v>
      </c>
      <c r="F104" s="362">
        <f t="shared" si="11"/>
        <v>1.391108232102789E-2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661</v>
      </c>
      <c r="C105" s="378">
        <f>C32-C103</f>
        <v>1431.093068541195</v>
      </c>
      <c r="D105" s="378">
        <f>LN_IA16-LN_IC19</f>
        <v>1424.1572811024498</v>
      </c>
      <c r="E105" s="378">
        <f t="shared" si="10"/>
        <v>-6.9357874387451375</v>
      </c>
      <c r="F105" s="362">
        <f t="shared" si="11"/>
        <v>-4.846496423754767E-3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646</v>
      </c>
      <c r="C106" s="361">
        <f>C105*C102</f>
        <v>754454.77348569641</v>
      </c>
      <c r="D106" s="361">
        <f>LN_IC21*LN_IC18</f>
        <v>678108.52324689971</v>
      </c>
      <c r="E106" s="361">
        <f t="shared" si="10"/>
        <v>-76346.250238796696</v>
      </c>
      <c r="F106" s="362">
        <f t="shared" si="11"/>
        <v>-0.10119393888392454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637</v>
      </c>
      <c r="C109" s="361">
        <f>C83+C98</f>
        <v>13285645</v>
      </c>
      <c r="D109" s="361">
        <f>LN_IC1+LN_IC14</f>
        <v>13123061</v>
      </c>
      <c r="E109" s="361">
        <f>D109-C109</f>
        <v>-162584</v>
      </c>
      <c r="F109" s="362">
        <f>IF(C109=0,0,E109/C109)</f>
        <v>-1.2237569195925377E-2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638</v>
      </c>
      <c r="C110" s="361">
        <f>C84+C99</f>
        <v>3067822</v>
      </c>
      <c r="D110" s="361">
        <f>LN_IC2+LN_IC15</f>
        <v>2681150</v>
      </c>
      <c r="E110" s="361">
        <f>D110-C110</f>
        <v>-386672</v>
      </c>
      <c r="F110" s="362">
        <f>IF(C110=0,0,E110/C110)</f>
        <v>-0.12604121099594434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639</v>
      </c>
      <c r="C111" s="361">
        <f>C109-C110</f>
        <v>10217823</v>
      </c>
      <c r="D111" s="361">
        <f>LN_IC23-LN_IC24</f>
        <v>10441911</v>
      </c>
      <c r="E111" s="361">
        <f>D111-C111</f>
        <v>224088</v>
      </c>
      <c r="F111" s="362">
        <f>IF(C111=0,0,E111/C111)</f>
        <v>2.1931090409375853E-2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648</v>
      </c>
      <c r="C113" s="361">
        <f>C92+C106</f>
        <v>1250674.211746589</v>
      </c>
      <c r="D113" s="361">
        <f>LN_IC10+LN_IC22</f>
        <v>1149980.4394451212</v>
      </c>
      <c r="E113" s="361">
        <f>D113-C113</f>
        <v>-100693.77230146783</v>
      </c>
      <c r="F113" s="362">
        <f>IF(C113=0,0,E113/C113)</f>
        <v>-8.0511592352133954E-2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621</v>
      </c>
      <c r="C118" s="361">
        <v>37204651</v>
      </c>
      <c r="D118" s="361">
        <v>36860359</v>
      </c>
      <c r="E118" s="361">
        <f t="shared" ref="E118:E130" si="12">D118-C118</f>
        <v>-344292</v>
      </c>
      <c r="F118" s="362">
        <f t="shared" ref="F118:F130" si="13">IF(C118=0,0,E118/C118)</f>
        <v>-9.2540042910226467E-3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622</v>
      </c>
      <c r="C119" s="361">
        <v>10926316</v>
      </c>
      <c r="D119" s="361">
        <v>10267905</v>
      </c>
      <c r="E119" s="361">
        <f t="shared" si="12"/>
        <v>-658411</v>
      </c>
      <c r="F119" s="362">
        <f t="shared" si="13"/>
        <v>-6.0259194407337298E-2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623</v>
      </c>
      <c r="C120" s="366">
        <f>IF(C118=0,0,C119/C118)</f>
        <v>0.29368145396660217</v>
      </c>
      <c r="D120" s="366">
        <f>IF(LN_ID1=0,0,LN_1D2/LN_ID1)</f>
        <v>0.27856226251079108</v>
      </c>
      <c r="E120" s="367">
        <f t="shared" si="12"/>
        <v>-1.5119191455811087E-2</v>
      </c>
      <c r="F120" s="362">
        <f t="shared" si="13"/>
        <v>-5.1481601073557953E-2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2318</v>
      </c>
      <c r="D121" s="369">
        <v>2286</v>
      </c>
      <c r="E121" s="369">
        <f t="shared" si="12"/>
        <v>-32</v>
      </c>
      <c r="F121" s="362">
        <f t="shared" si="13"/>
        <v>-1.3805004314063849E-2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624</v>
      </c>
      <c r="C122" s="372">
        <v>0.99650000000000005</v>
      </c>
      <c r="D122" s="372">
        <v>1.0051000000000001</v>
      </c>
      <c r="E122" s="373">
        <f t="shared" si="12"/>
        <v>8.600000000000052E-3</v>
      </c>
      <c r="F122" s="362">
        <f t="shared" si="13"/>
        <v>8.6302057200201218E-3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625</v>
      </c>
      <c r="C123" s="376">
        <f>C121*C122</f>
        <v>2309.8870000000002</v>
      </c>
      <c r="D123" s="376">
        <f>LN_ID4*LN_ID5</f>
        <v>2297.6586000000002</v>
      </c>
      <c r="E123" s="376">
        <f t="shared" si="12"/>
        <v>-12.228399999999965</v>
      </c>
      <c r="F123" s="362">
        <f t="shared" si="13"/>
        <v>-5.2939386212398978E-3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626</v>
      </c>
      <c r="C124" s="378">
        <f>IF(C123=0,0,C119/C123)</f>
        <v>4730.2383190173368</v>
      </c>
      <c r="D124" s="378">
        <f>IF(LN_ID6=0,0,LN_1D2/LN_ID6)</f>
        <v>4468.8558169607959</v>
      </c>
      <c r="E124" s="378">
        <f t="shared" si="12"/>
        <v>-261.38250205654094</v>
      </c>
      <c r="F124" s="362">
        <f t="shared" si="13"/>
        <v>-5.5257787119453367E-2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665</v>
      </c>
      <c r="C125" s="378">
        <f>C48-C124</f>
        <v>6770.9689332831276</v>
      </c>
      <c r="D125" s="378">
        <f>LN_IB7-LN_ID7</f>
        <v>7255.8272585692985</v>
      </c>
      <c r="E125" s="378">
        <f t="shared" si="12"/>
        <v>484.85832528617084</v>
      </c>
      <c r="F125" s="362">
        <f t="shared" si="13"/>
        <v>7.1608410858720523E-2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666</v>
      </c>
      <c r="C126" s="378">
        <f>C21-C124</f>
        <v>2101.1880215821611</v>
      </c>
      <c r="D126" s="378">
        <f>LN_IA7-LN_ID7</f>
        <v>3789.489847797412</v>
      </c>
      <c r="E126" s="378">
        <f t="shared" si="12"/>
        <v>1688.3018262152509</v>
      </c>
      <c r="F126" s="362">
        <f t="shared" si="13"/>
        <v>0.80349869163254917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643</v>
      </c>
      <c r="C127" s="391">
        <f>C126*C123</f>
        <v>4853506.8956083534</v>
      </c>
      <c r="D127" s="391">
        <f>LN_ID9*LN_ID6</f>
        <v>8706953.9384044148</v>
      </c>
      <c r="E127" s="391">
        <f t="shared" si="12"/>
        <v>3853447.0427960614</v>
      </c>
      <c r="F127" s="362">
        <f t="shared" si="13"/>
        <v>0.79395108025555994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9069</v>
      </c>
      <c r="D128" s="369">
        <v>8812</v>
      </c>
      <c r="E128" s="369">
        <f t="shared" si="12"/>
        <v>-257</v>
      </c>
      <c r="F128" s="362">
        <f t="shared" si="13"/>
        <v>-2.8338295291652882E-2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627</v>
      </c>
      <c r="C129" s="378">
        <f>IF(C128=0,0,C119/C128)</f>
        <v>1204.7983239607454</v>
      </c>
      <c r="D129" s="378">
        <f>IF(LN_ID11=0,0,LN_1D2/LN_ID11)</f>
        <v>1165.2184521107581</v>
      </c>
      <c r="E129" s="378">
        <f t="shared" si="12"/>
        <v>-39.579871849987285</v>
      </c>
      <c r="F129" s="362">
        <f t="shared" si="13"/>
        <v>-3.2851864965971575E-2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628</v>
      </c>
      <c r="C130" s="379">
        <f>IF(C121=0,0,C128/C121)</f>
        <v>3.9124245038826575</v>
      </c>
      <c r="D130" s="379">
        <f>IF(LN_ID4=0,0,LN_ID11/LN_ID4)</f>
        <v>3.8547681539807526</v>
      </c>
      <c r="E130" s="379">
        <f t="shared" si="12"/>
        <v>-5.7656349901904935E-2</v>
      </c>
      <c r="F130" s="362">
        <f t="shared" si="13"/>
        <v>-1.47367316211948E-2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630</v>
      </c>
      <c r="C133" s="361">
        <v>65160639</v>
      </c>
      <c r="D133" s="361">
        <v>70686346</v>
      </c>
      <c r="E133" s="361">
        <f t="shared" ref="E133:E141" si="14">D133-C133</f>
        <v>5525707</v>
      </c>
      <c r="F133" s="362">
        <f t="shared" ref="F133:F141" si="15">IF(C133=0,0,E133/C133)</f>
        <v>8.4801301595584411E-2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631</v>
      </c>
      <c r="C134" s="361">
        <v>15532626</v>
      </c>
      <c r="D134" s="361">
        <v>15800535</v>
      </c>
      <c r="E134" s="361">
        <f t="shared" si="14"/>
        <v>267909</v>
      </c>
      <c r="F134" s="362">
        <f t="shared" si="15"/>
        <v>1.7248145934885703E-2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632</v>
      </c>
      <c r="C135" s="366">
        <f>IF(C133=0,0,C134/C133)</f>
        <v>0.23837436584991131</v>
      </c>
      <c r="D135" s="366">
        <f>IF(LN_ID14=0,0,LN_ID15/LN_ID14)</f>
        <v>0.22353022746429699</v>
      </c>
      <c r="E135" s="367">
        <f t="shared" si="14"/>
        <v>-1.4844138385614325E-2</v>
      </c>
      <c r="F135" s="362">
        <f t="shared" si="15"/>
        <v>-6.227237703470475E-2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633</v>
      </c>
      <c r="C136" s="366">
        <f>IF(C118=0,0,C133/C118)</f>
        <v>1.7514111071758205</v>
      </c>
      <c r="D136" s="366">
        <f>IF(LN_ID1=0,0,LN_ID14/LN_ID1)</f>
        <v>1.9176792608015565</v>
      </c>
      <c r="E136" s="367">
        <f t="shared" si="14"/>
        <v>0.16626815362573599</v>
      </c>
      <c r="F136" s="362">
        <f t="shared" si="15"/>
        <v>9.4933823900344078E-2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634</v>
      </c>
      <c r="C137" s="376">
        <f>C136*C121</f>
        <v>4059.7709464335521</v>
      </c>
      <c r="D137" s="376">
        <f>LN_ID17*LN_ID4</f>
        <v>4383.8147901923585</v>
      </c>
      <c r="E137" s="376">
        <f t="shared" si="14"/>
        <v>324.04384375880636</v>
      </c>
      <c r="F137" s="362">
        <f t="shared" si="15"/>
        <v>7.9818257737785434E-2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635</v>
      </c>
      <c r="C138" s="378">
        <f>IF(C137=0,0,C134/C137)</f>
        <v>3825.985801894853</v>
      </c>
      <c r="D138" s="378">
        <f>IF(LN_ID18=0,0,LN_ID15/LN_ID18)</f>
        <v>3604.2889027496267</v>
      </c>
      <c r="E138" s="378">
        <f t="shared" si="14"/>
        <v>-221.69689914522633</v>
      </c>
      <c r="F138" s="362">
        <f t="shared" si="15"/>
        <v>-5.7945039690275119E-2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668</v>
      </c>
      <c r="C139" s="378">
        <f>C61-C138</f>
        <v>6736.9902678045073</v>
      </c>
      <c r="D139" s="378">
        <f>LN_IB18-LN_ID19</f>
        <v>6703.7503185871165</v>
      </c>
      <c r="E139" s="378">
        <f t="shared" si="14"/>
        <v>-33.239949217390858</v>
      </c>
      <c r="F139" s="362">
        <f t="shared" si="15"/>
        <v>-4.9339464502779077E-3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669</v>
      </c>
      <c r="C140" s="378">
        <f>C32-C138</f>
        <v>2091.7458102325886</v>
      </c>
      <c r="D140" s="378">
        <f>LN_IA16-LN_ID19</f>
        <v>1967.0416420403426</v>
      </c>
      <c r="E140" s="378">
        <f t="shared" si="14"/>
        <v>-124.70416819224602</v>
      </c>
      <c r="F140" s="362">
        <f t="shared" si="15"/>
        <v>-5.9617266869715739E-2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646</v>
      </c>
      <c r="C141" s="353">
        <f>C140*C137</f>
        <v>8492008.8677063733</v>
      </c>
      <c r="D141" s="353">
        <f>LN_ID21*LN_ID18</f>
        <v>8623146.2433007173</v>
      </c>
      <c r="E141" s="353">
        <f t="shared" si="14"/>
        <v>131137.37559434399</v>
      </c>
      <c r="F141" s="362">
        <f t="shared" si="15"/>
        <v>1.5442444495440475E-2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637</v>
      </c>
      <c r="C144" s="361">
        <f>C118+C133</f>
        <v>102365290</v>
      </c>
      <c r="D144" s="361">
        <f>LN_ID1+LN_ID14</f>
        <v>107546705</v>
      </c>
      <c r="E144" s="361">
        <f>D144-C144</f>
        <v>5181415</v>
      </c>
      <c r="F144" s="362">
        <f>IF(C144=0,0,E144/C144)</f>
        <v>5.0616913213453504E-2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638</v>
      </c>
      <c r="C145" s="361">
        <f>C119+C134</f>
        <v>26458942</v>
      </c>
      <c r="D145" s="361">
        <f>LN_1D2+LN_ID15</f>
        <v>26068440</v>
      </c>
      <c r="E145" s="361">
        <f>D145-C145</f>
        <v>-390502</v>
      </c>
      <c r="F145" s="362">
        <f>IF(C145=0,0,E145/C145)</f>
        <v>-1.4758791186737549E-2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639</v>
      </c>
      <c r="C146" s="361">
        <f>C144-C145</f>
        <v>75906348</v>
      </c>
      <c r="D146" s="361">
        <f>LN_ID23-LN_ID24</f>
        <v>81478265</v>
      </c>
      <c r="E146" s="361">
        <f>D146-C146</f>
        <v>5571917</v>
      </c>
      <c r="F146" s="362">
        <f>IF(C146=0,0,E146/C146)</f>
        <v>7.3405151832624069E-2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648</v>
      </c>
      <c r="C148" s="361">
        <f>C127+C141</f>
        <v>13345515.763314728</v>
      </c>
      <c r="D148" s="361">
        <f>LN_ID10+LN_ID22</f>
        <v>17330100.181705132</v>
      </c>
      <c r="E148" s="361">
        <f>D148-C148</f>
        <v>3984584.4183904044</v>
      </c>
      <c r="F148" s="415">
        <f>IF(C148=0,0,E148/C148)</f>
        <v>0.29857103232709553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621</v>
      </c>
      <c r="C153" s="361">
        <v>1325716</v>
      </c>
      <c r="D153" s="361">
        <v>1256504</v>
      </c>
      <c r="E153" s="361">
        <f t="shared" ref="E153:E165" si="16">D153-C153</f>
        <v>-69212</v>
      </c>
      <c r="F153" s="362">
        <f t="shared" ref="F153:F165" si="17">IF(C153=0,0,E153/C153)</f>
        <v>-5.2207260076818869E-2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622</v>
      </c>
      <c r="C154" s="361">
        <v>284954</v>
      </c>
      <c r="D154" s="361">
        <v>362821</v>
      </c>
      <c r="E154" s="361">
        <f t="shared" si="16"/>
        <v>77867</v>
      </c>
      <c r="F154" s="362">
        <f t="shared" si="17"/>
        <v>0.27326164924865065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623</v>
      </c>
      <c r="C155" s="366">
        <f>IF(C153=0,0,C154/C153)</f>
        <v>0.21494347205585509</v>
      </c>
      <c r="D155" s="366">
        <f>IF(LN_IE1=0,0,LN_IE2/LN_IE1)</f>
        <v>0.28875435334865629</v>
      </c>
      <c r="E155" s="367">
        <f t="shared" si="16"/>
        <v>7.3810881292801195E-2</v>
      </c>
      <c r="F155" s="362">
        <f t="shared" si="17"/>
        <v>0.34339671071108752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66</v>
      </c>
      <c r="D156" s="419">
        <v>61</v>
      </c>
      <c r="E156" s="419">
        <f t="shared" si="16"/>
        <v>-5</v>
      </c>
      <c r="F156" s="362">
        <f t="shared" si="17"/>
        <v>-7.575757575757576E-2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624</v>
      </c>
      <c r="C157" s="372">
        <v>1.1697</v>
      </c>
      <c r="D157" s="372">
        <v>1.0233000000000001</v>
      </c>
      <c r="E157" s="373">
        <f t="shared" si="16"/>
        <v>-0.14639999999999986</v>
      </c>
      <c r="F157" s="362">
        <f t="shared" si="17"/>
        <v>-0.12516029751218249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625</v>
      </c>
      <c r="C158" s="376">
        <f>C156*C157</f>
        <v>77.200199999999995</v>
      </c>
      <c r="D158" s="376">
        <f>LN_IE4*LN_IE5</f>
        <v>62.421300000000009</v>
      </c>
      <c r="E158" s="376">
        <f t="shared" si="16"/>
        <v>-14.778899999999986</v>
      </c>
      <c r="F158" s="362">
        <f t="shared" si="17"/>
        <v>-0.1914360325491383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626</v>
      </c>
      <c r="C159" s="378">
        <f>IF(C158=0,0,C154/C158)</f>
        <v>3691.1044271906035</v>
      </c>
      <c r="D159" s="378">
        <f>IF(LN_IE6=0,0,LN_IE2/LN_IE6)</f>
        <v>5812.455043390637</v>
      </c>
      <c r="E159" s="378">
        <f t="shared" si="16"/>
        <v>2121.3506162000335</v>
      </c>
      <c r="F159" s="362">
        <f t="shared" si="17"/>
        <v>0.57471975069929115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673</v>
      </c>
      <c r="C160" s="378">
        <f>C48-C159</f>
        <v>7810.1028251098614</v>
      </c>
      <c r="D160" s="378">
        <f>LN_IB7-LN_IE7</f>
        <v>5912.2280321394574</v>
      </c>
      <c r="E160" s="378">
        <f t="shared" si="16"/>
        <v>-1897.8747929704041</v>
      </c>
      <c r="F160" s="362">
        <f t="shared" si="17"/>
        <v>-0.24300253600613864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674</v>
      </c>
      <c r="C161" s="378">
        <f>C21-C159</f>
        <v>3140.3219134088945</v>
      </c>
      <c r="D161" s="378">
        <f>LN_IA7-LN_IE7</f>
        <v>2445.8906213675709</v>
      </c>
      <c r="E161" s="378">
        <f t="shared" si="16"/>
        <v>-694.43129204132356</v>
      </c>
      <c r="F161" s="362">
        <f t="shared" si="17"/>
        <v>-0.22113379175433062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643</v>
      </c>
      <c r="C162" s="391">
        <f>C161*C158</f>
        <v>242433.47977954932</v>
      </c>
      <c r="D162" s="391">
        <f>LN_IE9*LN_IE6</f>
        <v>152675.67224357158</v>
      </c>
      <c r="E162" s="391">
        <f t="shared" si="16"/>
        <v>-89757.807535977743</v>
      </c>
      <c r="F162" s="362">
        <f t="shared" si="17"/>
        <v>-0.37023684854747252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366</v>
      </c>
      <c r="D163" s="369">
        <v>273</v>
      </c>
      <c r="E163" s="419">
        <f t="shared" si="16"/>
        <v>-93</v>
      </c>
      <c r="F163" s="362">
        <f t="shared" si="17"/>
        <v>-0.25409836065573771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627</v>
      </c>
      <c r="C164" s="378">
        <f>IF(C163=0,0,C154/C163)</f>
        <v>778.5628415300547</v>
      </c>
      <c r="D164" s="378">
        <f>IF(LN_IE11=0,0,LN_IE2/LN_IE11)</f>
        <v>1329.014652014652</v>
      </c>
      <c r="E164" s="378">
        <f t="shared" si="16"/>
        <v>550.45181048459733</v>
      </c>
      <c r="F164" s="362">
        <f t="shared" si="17"/>
        <v>0.70701012316852052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628</v>
      </c>
      <c r="C165" s="379">
        <f>IF(C156=0,0,C163/C156)</f>
        <v>5.5454545454545459</v>
      </c>
      <c r="D165" s="379">
        <f>IF(LN_IE4=0,0,LN_IE11/LN_IE4)</f>
        <v>4.4754098360655741</v>
      </c>
      <c r="E165" s="379">
        <f t="shared" si="16"/>
        <v>-1.0700447093889718</v>
      </c>
      <c r="F165" s="362">
        <f t="shared" si="17"/>
        <v>-0.19295888202096212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630</v>
      </c>
      <c r="C168" s="424">
        <v>1097818</v>
      </c>
      <c r="D168" s="424">
        <v>1179222</v>
      </c>
      <c r="E168" s="424">
        <f t="shared" ref="E168:E176" si="18">D168-C168</f>
        <v>81404</v>
      </c>
      <c r="F168" s="362">
        <f t="shared" ref="F168:F176" si="19">IF(C168=0,0,E168/C168)</f>
        <v>7.4150724437019616E-2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631</v>
      </c>
      <c r="C169" s="424">
        <v>285216</v>
      </c>
      <c r="D169" s="424">
        <v>266662</v>
      </c>
      <c r="E169" s="424">
        <f t="shared" si="18"/>
        <v>-18554</v>
      </c>
      <c r="F169" s="362">
        <f t="shared" si="19"/>
        <v>-6.5052451475373044E-2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632</v>
      </c>
      <c r="C170" s="366">
        <f>IF(C168=0,0,C169/C168)</f>
        <v>0.25980262666489345</v>
      </c>
      <c r="D170" s="366">
        <f>IF(LN_IE14=0,0,LN_IE15/LN_IE14)</f>
        <v>0.22613384078655249</v>
      </c>
      <c r="E170" s="367">
        <f t="shared" si="18"/>
        <v>-3.3668785878340962E-2</v>
      </c>
      <c r="F170" s="362">
        <f t="shared" si="19"/>
        <v>-0.12959370854155627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633</v>
      </c>
      <c r="C171" s="366">
        <f>IF(C153=0,0,C168/C153)</f>
        <v>0.82809440332620254</v>
      </c>
      <c r="D171" s="366">
        <f>IF(LN_IE1=0,0,LN_IE14/LN_IE1)</f>
        <v>0.93849442580365838</v>
      </c>
      <c r="E171" s="367">
        <f t="shared" si="18"/>
        <v>0.11040002247745584</v>
      </c>
      <c r="F171" s="362">
        <f t="shared" si="19"/>
        <v>0.13331816038607752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634</v>
      </c>
      <c r="C172" s="376">
        <f>C171*C156</f>
        <v>54.654230619529365</v>
      </c>
      <c r="D172" s="376">
        <f>LN_IE17*LN_IE4</f>
        <v>57.24815997402316</v>
      </c>
      <c r="E172" s="376">
        <f t="shared" si="18"/>
        <v>2.5939293544937954</v>
      </c>
      <c r="F172" s="362">
        <f t="shared" si="19"/>
        <v>4.7460723993192899E-2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635</v>
      </c>
      <c r="C173" s="378">
        <f>IF(C172=0,0,C169/C172)</f>
        <v>5218.5530153284235</v>
      </c>
      <c r="D173" s="378">
        <f>IF(LN_IE18=0,0,LN_IE15/LN_IE18)</f>
        <v>4658.0012374371536</v>
      </c>
      <c r="E173" s="378">
        <f t="shared" si="18"/>
        <v>-560.55177789126992</v>
      </c>
      <c r="F173" s="362">
        <f t="shared" si="19"/>
        <v>-0.10741517356339289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676</v>
      </c>
      <c r="C174" s="378">
        <f>C61-C173</f>
        <v>5344.4230543709364</v>
      </c>
      <c r="D174" s="378">
        <f>LN_IB18-LN_IE19</f>
        <v>5650.0379838995896</v>
      </c>
      <c r="E174" s="378">
        <f t="shared" si="18"/>
        <v>305.61492952865319</v>
      </c>
      <c r="F174" s="362">
        <f t="shared" si="19"/>
        <v>5.7183895514915505E-2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677</v>
      </c>
      <c r="C175" s="378">
        <f>C32-C173</f>
        <v>699.17859679901812</v>
      </c>
      <c r="D175" s="378">
        <f>LN_IA16-LN_IE19</f>
        <v>913.3293073528157</v>
      </c>
      <c r="E175" s="378">
        <f t="shared" si="18"/>
        <v>214.15071055379758</v>
      </c>
      <c r="F175" s="362">
        <f t="shared" si="19"/>
        <v>0.30628899616524746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646</v>
      </c>
      <c r="C176" s="353">
        <f>C175*C172</f>
        <v>38213.068273692472</v>
      </c>
      <c r="D176" s="353">
        <f>LN_IE21*LN_IE18</f>
        <v>52286.422296297758</v>
      </c>
      <c r="E176" s="353">
        <f t="shared" si="18"/>
        <v>14073.354022605286</v>
      </c>
      <c r="F176" s="362">
        <f t="shared" si="19"/>
        <v>0.36828641766759129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637</v>
      </c>
      <c r="C179" s="361">
        <f>C153+C168</f>
        <v>2423534</v>
      </c>
      <c r="D179" s="361">
        <f>LN_IE1+LN_IE14</f>
        <v>2435726</v>
      </c>
      <c r="E179" s="361">
        <f>D179-C179</f>
        <v>12192</v>
      </c>
      <c r="F179" s="362">
        <f>IF(C179=0,0,E179/C179)</f>
        <v>5.0306700875663388E-3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638</v>
      </c>
      <c r="C180" s="361">
        <f>C154+C169</f>
        <v>570170</v>
      </c>
      <c r="D180" s="361">
        <f>LN_IE15+LN_IE2</f>
        <v>629483</v>
      </c>
      <c r="E180" s="361">
        <f>D180-C180</f>
        <v>59313</v>
      </c>
      <c r="F180" s="362">
        <f>IF(C180=0,0,E180/C180)</f>
        <v>0.10402686917936756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639</v>
      </c>
      <c r="C181" s="361">
        <f>C179-C180</f>
        <v>1853364</v>
      </c>
      <c r="D181" s="361">
        <f>LN_IE23-LN_IE24</f>
        <v>1806243</v>
      </c>
      <c r="E181" s="361">
        <f>D181-C181</f>
        <v>-47121</v>
      </c>
      <c r="F181" s="362">
        <f>IF(C181=0,0,E181/C181)</f>
        <v>-2.5424579305522284E-2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679</v>
      </c>
      <c r="C183" s="361">
        <f>C162+C176</f>
        <v>280646.5480532418</v>
      </c>
      <c r="D183" s="361">
        <f>LN_IE10+LN_IE22</f>
        <v>204962.09453986934</v>
      </c>
      <c r="E183" s="353">
        <f>D183-C183</f>
        <v>-75684.453513372457</v>
      </c>
      <c r="F183" s="362">
        <f>IF(C183=0,0,E183/C183)</f>
        <v>-0.26967890408192108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621</v>
      </c>
      <c r="C188" s="361">
        <f>C118+C153</f>
        <v>38530367</v>
      </c>
      <c r="D188" s="361">
        <f>LN_ID1+LN_IE1</f>
        <v>38116863</v>
      </c>
      <c r="E188" s="361">
        <f t="shared" ref="E188:E200" si="20">D188-C188</f>
        <v>-413504</v>
      </c>
      <c r="F188" s="362">
        <f t="shared" ref="F188:F200" si="21">IF(C188=0,0,E188/C188)</f>
        <v>-1.073189881632843E-2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622</v>
      </c>
      <c r="C189" s="361">
        <f>C119+C154</f>
        <v>11211270</v>
      </c>
      <c r="D189" s="361">
        <f>LN_1D2+LN_IE2</f>
        <v>10630726</v>
      </c>
      <c r="E189" s="361">
        <f t="shared" si="20"/>
        <v>-580544</v>
      </c>
      <c r="F189" s="362">
        <f t="shared" si="21"/>
        <v>-5.1782179895765598E-2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623</v>
      </c>
      <c r="C190" s="366">
        <f>IF(C188=0,0,C189/C188)</f>
        <v>0.2909723128253619</v>
      </c>
      <c r="D190" s="366">
        <f>IF(LN_IF1=0,0,LN_IF2/LN_IF1)</f>
        <v>0.27889823986827039</v>
      </c>
      <c r="E190" s="367">
        <f t="shared" si="20"/>
        <v>-1.2074072957091508E-2</v>
      </c>
      <c r="F190" s="362">
        <f t="shared" si="21"/>
        <v>-4.1495607743057744E-2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2384</v>
      </c>
      <c r="D191" s="369">
        <f>LN_ID4+LN_IE4</f>
        <v>2347</v>
      </c>
      <c r="E191" s="369">
        <f t="shared" si="20"/>
        <v>-37</v>
      </c>
      <c r="F191" s="362">
        <f t="shared" si="21"/>
        <v>-1.552013422818792E-2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624</v>
      </c>
      <c r="C192" s="372">
        <f>IF((C121+C156)=0,0,(C123+C158)/(C121+C156))</f>
        <v>1.0012949664429529</v>
      </c>
      <c r="D192" s="372">
        <f>IF((LN_ID4+LN_IE4)=0,0,(LN_ID6+LN_IE6)/(LN_ID4+LN_IE4))</f>
        <v>1.0055730293992331</v>
      </c>
      <c r="E192" s="373">
        <f t="shared" si="20"/>
        <v>4.2780629562801931E-3</v>
      </c>
      <c r="F192" s="362">
        <f t="shared" si="21"/>
        <v>4.2725301730795516E-3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625</v>
      </c>
      <c r="C193" s="376">
        <f>C123+C158</f>
        <v>2387.0871999999999</v>
      </c>
      <c r="D193" s="376">
        <f>LN_IF4*LN_IF5</f>
        <v>2360.0799000000002</v>
      </c>
      <c r="E193" s="376">
        <f t="shared" si="20"/>
        <v>-27.007299999999759</v>
      </c>
      <c r="F193" s="362">
        <f t="shared" si="21"/>
        <v>-1.1313914296888593E-2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626</v>
      </c>
      <c r="C194" s="378">
        <f>IF(C193=0,0,C189/C193)</f>
        <v>4696.6319454102895</v>
      </c>
      <c r="D194" s="378">
        <f>IF(LN_IF6=0,0,LN_IF2/LN_IF6)</f>
        <v>4504.3924148500228</v>
      </c>
      <c r="E194" s="378">
        <f t="shared" si="20"/>
        <v>-192.23953056026676</v>
      </c>
      <c r="F194" s="362">
        <f t="shared" si="21"/>
        <v>-4.0931359492227155E-2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682</v>
      </c>
      <c r="C195" s="378">
        <f>C48-C194</f>
        <v>6804.5753068901749</v>
      </c>
      <c r="D195" s="378">
        <f>LN_IB7-LN_IF7</f>
        <v>7220.2906606800716</v>
      </c>
      <c r="E195" s="378">
        <f t="shared" si="20"/>
        <v>415.71535378989665</v>
      </c>
      <c r="F195" s="362">
        <f t="shared" si="21"/>
        <v>6.1093504743632086E-2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683</v>
      </c>
      <c r="C196" s="378">
        <f>C21-C194</f>
        <v>2134.7943951892084</v>
      </c>
      <c r="D196" s="378">
        <f>LN_IA7-LN_IF7</f>
        <v>3753.9532499081852</v>
      </c>
      <c r="E196" s="378">
        <f t="shared" si="20"/>
        <v>1619.1588547189767</v>
      </c>
      <c r="F196" s="362">
        <f t="shared" si="21"/>
        <v>0.75846126370191702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643</v>
      </c>
      <c r="C197" s="391">
        <f>C127+C162</f>
        <v>5095940.3753879024</v>
      </c>
      <c r="D197" s="391">
        <f>LN_IF9*LN_IF6</f>
        <v>8859629.6106479857</v>
      </c>
      <c r="E197" s="391">
        <f t="shared" si="20"/>
        <v>3763689.2352600833</v>
      </c>
      <c r="F197" s="362">
        <f t="shared" si="21"/>
        <v>0.73856618366999471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9435</v>
      </c>
      <c r="D198" s="369">
        <f>LN_ID11+LN_IE11</f>
        <v>9085</v>
      </c>
      <c r="E198" s="369">
        <f t="shared" si="20"/>
        <v>-350</v>
      </c>
      <c r="F198" s="362">
        <f t="shared" si="21"/>
        <v>-3.7095919448860627E-2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627</v>
      </c>
      <c r="C199" s="432">
        <f>IF(C198=0,0,C189/C198)</f>
        <v>1188.2639109697934</v>
      </c>
      <c r="D199" s="432">
        <f>IF(LN_IF11=0,0,LN_IF2/LN_IF11)</f>
        <v>1170.1404512933407</v>
      </c>
      <c r="E199" s="432">
        <f t="shared" si="20"/>
        <v>-18.12345967645274</v>
      </c>
      <c r="F199" s="362">
        <f t="shared" si="21"/>
        <v>-1.5252049236824336E-2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628</v>
      </c>
      <c r="C200" s="379">
        <f>IF(C191=0,0,C198/C191)</f>
        <v>3.9576342281879193</v>
      </c>
      <c r="D200" s="379">
        <f>IF(LN_IF4=0,0,LN_IF11/LN_IF4)</f>
        <v>3.8708990200255644</v>
      </c>
      <c r="E200" s="379">
        <f t="shared" si="20"/>
        <v>-8.6735208162354915E-2</v>
      </c>
      <c r="F200" s="362">
        <f t="shared" si="21"/>
        <v>-2.1915923291897628E-2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630</v>
      </c>
      <c r="C203" s="361">
        <f>C133+C168</f>
        <v>66258457</v>
      </c>
      <c r="D203" s="361">
        <f>LN_ID14+LN_IE14</f>
        <v>71865568</v>
      </c>
      <c r="E203" s="361">
        <f t="shared" ref="E203:E211" si="22">D203-C203</f>
        <v>5607111</v>
      </c>
      <c r="F203" s="362">
        <f t="shared" ref="F203:F211" si="23">IF(C203=0,0,E203/C203)</f>
        <v>8.4624835136139678E-2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631</v>
      </c>
      <c r="C204" s="361">
        <f>C134+C169</f>
        <v>15817842</v>
      </c>
      <c r="D204" s="361">
        <f>LN_ID15+LN_IE15</f>
        <v>16067197</v>
      </c>
      <c r="E204" s="361">
        <f t="shared" si="22"/>
        <v>249355</v>
      </c>
      <c r="F204" s="362">
        <f t="shared" si="23"/>
        <v>1.576416049673527E-2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632</v>
      </c>
      <c r="C205" s="366">
        <f>IF(C203=0,0,C204/C203)</f>
        <v>0.23872940476111601</v>
      </c>
      <c r="D205" s="366">
        <f>IF(LN_IF14=0,0,LN_IF15/LN_IF14)</f>
        <v>0.22357294942690775</v>
      </c>
      <c r="E205" s="367">
        <f t="shared" si="22"/>
        <v>-1.5156455334208258E-2</v>
      </c>
      <c r="F205" s="362">
        <f t="shared" si="23"/>
        <v>-6.3488012083700071E-2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633</v>
      </c>
      <c r="C206" s="366">
        <f>IF(C188=0,0,C203/C188)</f>
        <v>1.7196425095042567</v>
      </c>
      <c r="D206" s="366">
        <f>IF(LN_IF1=0,0,LN_IF14/LN_IF1)</f>
        <v>1.8854009051059633</v>
      </c>
      <c r="E206" s="367">
        <f t="shared" si="22"/>
        <v>0.16575839560170658</v>
      </c>
      <c r="F206" s="362">
        <f t="shared" si="23"/>
        <v>9.6391194498612318E-2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634</v>
      </c>
      <c r="C207" s="376">
        <f>C137+C172</f>
        <v>4114.4251770530818</v>
      </c>
      <c r="D207" s="376">
        <f>LN_ID18+LN_IE18</f>
        <v>4441.0629501663816</v>
      </c>
      <c r="E207" s="376">
        <f t="shared" si="22"/>
        <v>326.63777311329977</v>
      </c>
      <c r="F207" s="362">
        <f t="shared" si="23"/>
        <v>7.9388434363813362E-2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635</v>
      </c>
      <c r="C208" s="378">
        <f>IF(C207=0,0,C204/C207)</f>
        <v>3844.4840577534528</v>
      </c>
      <c r="D208" s="378">
        <f>IF(LN_IF18=0,0,LN_IF15/LN_IF18)</f>
        <v>3617.8719329790297</v>
      </c>
      <c r="E208" s="378">
        <f t="shared" si="22"/>
        <v>-226.61212477442314</v>
      </c>
      <c r="F208" s="362">
        <f t="shared" si="23"/>
        <v>-5.8944743005865212E-2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685</v>
      </c>
      <c r="C209" s="378">
        <f>C61-C208</f>
        <v>6718.4920119459075</v>
      </c>
      <c r="D209" s="378">
        <f>LN_IB18-LN_IF19</f>
        <v>6690.1672883577139</v>
      </c>
      <c r="E209" s="378">
        <f t="shared" si="22"/>
        <v>-28.324723588193592</v>
      </c>
      <c r="F209" s="362">
        <f t="shared" si="23"/>
        <v>-4.2159346975229597E-3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686</v>
      </c>
      <c r="C210" s="378">
        <f>C32-C208</f>
        <v>2073.2475543739888</v>
      </c>
      <c r="D210" s="378">
        <f>LN_IA16-LN_IF19</f>
        <v>1953.4586118109396</v>
      </c>
      <c r="E210" s="378">
        <f t="shared" si="22"/>
        <v>-119.7889425630492</v>
      </c>
      <c r="F210" s="362">
        <f t="shared" si="23"/>
        <v>-5.777840774987391E-2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646</v>
      </c>
      <c r="C211" s="391">
        <f>C141+C176</f>
        <v>8530221.9359800667</v>
      </c>
      <c r="D211" s="353">
        <f>LN_IF21*LN_IF18</f>
        <v>8675432.665597016</v>
      </c>
      <c r="E211" s="353">
        <f t="shared" si="22"/>
        <v>145210.72961694933</v>
      </c>
      <c r="F211" s="362">
        <f t="shared" si="23"/>
        <v>1.7023089282643098E-2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637</v>
      </c>
      <c r="C214" s="361">
        <f>C188+C203</f>
        <v>104788824</v>
      </c>
      <c r="D214" s="361">
        <f>LN_IF1+LN_IF14</f>
        <v>109982431</v>
      </c>
      <c r="E214" s="361">
        <f>D214-C214</f>
        <v>5193607</v>
      </c>
      <c r="F214" s="362">
        <f>IF(C214=0,0,E214/C214)</f>
        <v>4.9562604118927794E-2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638</v>
      </c>
      <c r="C215" s="361">
        <f>C189+C204</f>
        <v>27029112</v>
      </c>
      <c r="D215" s="361">
        <f>LN_IF2+LN_IF15</f>
        <v>26697923</v>
      </c>
      <c r="E215" s="361">
        <f>D215-C215</f>
        <v>-331189</v>
      </c>
      <c r="F215" s="362">
        <f>IF(C215=0,0,E215/C215)</f>
        <v>-1.2253047750884306E-2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639</v>
      </c>
      <c r="C216" s="361">
        <f>C214-C215</f>
        <v>77759712</v>
      </c>
      <c r="D216" s="361">
        <f>LN_IF23-LN_IF24</f>
        <v>83284508</v>
      </c>
      <c r="E216" s="361">
        <f>D216-C216</f>
        <v>5524796</v>
      </c>
      <c r="F216" s="362">
        <f>IF(C216=0,0,E216/C216)</f>
        <v>7.1049594422366177E-2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621</v>
      </c>
      <c r="C221" s="361">
        <v>2882913</v>
      </c>
      <c r="D221" s="361">
        <v>3124142</v>
      </c>
      <c r="E221" s="361">
        <f t="shared" ref="E221:E230" si="24">D221-C221</f>
        <v>241229</v>
      </c>
      <c r="F221" s="362">
        <f t="shared" ref="F221:F230" si="25">IF(C221=0,0,E221/C221)</f>
        <v>8.36754352281876E-2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622</v>
      </c>
      <c r="C222" s="361">
        <v>1160549</v>
      </c>
      <c r="D222" s="361">
        <v>1364747</v>
      </c>
      <c r="E222" s="361">
        <f t="shared" si="24"/>
        <v>204198</v>
      </c>
      <c r="F222" s="362">
        <f t="shared" si="25"/>
        <v>0.17594948597603374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623</v>
      </c>
      <c r="C223" s="366">
        <f>IF(C221=0,0,C222/C221)</f>
        <v>0.40256122886816215</v>
      </c>
      <c r="D223" s="366">
        <f>IF(LN_IG1=0,0,LN_IG2/LN_IG1)</f>
        <v>0.43683897850993969</v>
      </c>
      <c r="E223" s="367">
        <f t="shared" si="24"/>
        <v>3.4277749641777544E-2</v>
      </c>
      <c r="F223" s="362">
        <f t="shared" si="25"/>
        <v>8.514915790115353E-2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237</v>
      </c>
      <c r="D224" s="369">
        <v>220</v>
      </c>
      <c r="E224" s="369">
        <f t="shared" si="24"/>
        <v>-17</v>
      </c>
      <c r="F224" s="362">
        <f t="shared" si="25"/>
        <v>-7.1729957805907171E-2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624</v>
      </c>
      <c r="C225" s="372">
        <v>0.83979999999999999</v>
      </c>
      <c r="D225" s="372">
        <v>0.94120000000000004</v>
      </c>
      <c r="E225" s="373">
        <f t="shared" si="24"/>
        <v>0.10140000000000005</v>
      </c>
      <c r="F225" s="362">
        <f t="shared" si="25"/>
        <v>0.12074303405572762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625</v>
      </c>
      <c r="C226" s="376">
        <f>C224*C225</f>
        <v>199.0326</v>
      </c>
      <c r="D226" s="376">
        <f>LN_IG3*LN_IG4</f>
        <v>207.06400000000002</v>
      </c>
      <c r="E226" s="376">
        <f t="shared" si="24"/>
        <v>8.0314000000000192</v>
      </c>
      <c r="F226" s="362">
        <f t="shared" si="25"/>
        <v>4.0352183511645927E-2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626</v>
      </c>
      <c r="C227" s="378">
        <f>IF(C226=0,0,C222/C226)</f>
        <v>5830.9493017726745</v>
      </c>
      <c r="D227" s="378">
        <f>IF(LN_IG5=0,0,LN_IG2/LN_IG5)</f>
        <v>6590.942896882123</v>
      </c>
      <c r="E227" s="378">
        <f t="shared" si="24"/>
        <v>759.99359510944851</v>
      </c>
      <c r="F227" s="362">
        <f t="shared" si="25"/>
        <v>0.13033788424097631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617</v>
      </c>
      <c r="D228" s="369">
        <v>636</v>
      </c>
      <c r="E228" s="369">
        <f t="shared" si="24"/>
        <v>19</v>
      </c>
      <c r="F228" s="362">
        <f t="shared" si="25"/>
        <v>3.0794165316045379E-2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627</v>
      </c>
      <c r="C229" s="378">
        <f>IF(C228=0,0,C222/C228)</f>
        <v>1880.9546191247973</v>
      </c>
      <c r="D229" s="378">
        <f>IF(LN_IG6=0,0,LN_IG2/LN_IG6)</f>
        <v>2145.8286163522012</v>
      </c>
      <c r="E229" s="378">
        <f t="shared" si="24"/>
        <v>264.87399722740383</v>
      </c>
      <c r="F229" s="362">
        <f t="shared" si="25"/>
        <v>0.14081891957108936</v>
      </c>
      <c r="Q229" s="330"/>
      <c r="U229" s="375"/>
    </row>
    <row r="230" spans="1:21" ht="11.25" customHeight="1" x14ac:dyDescent="0.2">
      <c r="A230" s="364">
        <v>10</v>
      </c>
      <c r="B230" s="360" t="s">
        <v>628</v>
      </c>
      <c r="C230" s="379">
        <f>IF(C224=0,0,C228/C224)</f>
        <v>2.6033755274261603</v>
      </c>
      <c r="D230" s="379">
        <f>IF(LN_IG3=0,0,LN_IG6/LN_IG3)</f>
        <v>2.8909090909090911</v>
      </c>
      <c r="E230" s="379">
        <f t="shared" si="24"/>
        <v>0.2875335634829308</v>
      </c>
      <c r="F230" s="362">
        <f t="shared" si="25"/>
        <v>0.1104464417268308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690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630</v>
      </c>
      <c r="C233" s="361">
        <v>6860374</v>
      </c>
      <c r="D233" s="361">
        <v>7191710</v>
      </c>
      <c r="E233" s="361">
        <f>D233-C233</f>
        <v>331336</v>
      </c>
      <c r="F233" s="362">
        <f>IF(C233=0,0,E233/C233)</f>
        <v>4.8297075348953278E-2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631</v>
      </c>
      <c r="C234" s="361">
        <v>1906524</v>
      </c>
      <c r="D234" s="361">
        <v>1957670</v>
      </c>
      <c r="E234" s="361">
        <f>D234-C234</f>
        <v>51146</v>
      </c>
      <c r="F234" s="362">
        <f>IF(C234=0,0,E234/C234)</f>
        <v>2.6826832497256786E-2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637</v>
      </c>
      <c r="C237" s="361">
        <f>C221+C233</f>
        <v>9743287</v>
      </c>
      <c r="D237" s="361">
        <f>LN_IG1+LN_IG9</f>
        <v>10315852</v>
      </c>
      <c r="E237" s="361">
        <f>D237-C237</f>
        <v>572565</v>
      </c>
      <c r="F237" s="362">
        <f>IF(C237=0,0,E237/C237)</f>
        <v>5.8765075892765965E-2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638</v>
      </c>
      <c r="C238" s="361">
        <f>C222+C234</f>
        <v>3067073</v>
      </c>
      <c r="D238" s="361">
        <f>LN_IG2+LN_IG10</f>
        <v>3322417</v>
      </c>
      <c r="E238" s="361">
        <f>D238-C238</f>
        <v>255344</v>
      </c>
      <c r="F238" s="362">
        <f>IF(C238=0,0,E238/C238)</f>
        <v>8.3253316761616042E-2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639</v>
      </c>
      <c r="C239" s="361">
        <f>C237-C238</f>
        <v>6676214</v>
      </c>
      <c r="D239" s="361">
        <f>LN_IG13-LN_IG14</f>
        <v>6993435</v>
      </c>
      <c r="E239" s="361">
        <f>D239-C239</f>
        <v>317221</v>
      </c>
      <c r="F239" s="362">
        <f>IF(C239=0,0,E239/C239)</f>
        <v>4.7515103620105643E-2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693</v>
      </c>
      <c r="C243" s="361">
        <v>5109286</v>
      </c>
      <c r="D243" s="361">
        <v>7456692</v>
      </c>
      <c r="E243" s="353">
        <f>D243-C243</f>
        <v>2347406</v>
      </c>
      <c r="F243" s="415">
        <f>IF(C243=0,0,E243/C243)</f>
        <v>0.45943914668311775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694</v>
      </c>
      <c r="C244" s="361">
        <v>252073735</v>
      </c>
      <c r="D244" s="361">
        <v>264111731</v>
      </c>
      <c r="E244" s="353">
        <f>D244-C244</f>
        <v>12037996</v>
      </c>
      <c r="F244" s="415">
        <f>IF(C244=0,0,E244/C244)</f>
        <v>4.7755852072410482E-2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695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697</v>
      </c>
      <c r="C248" s="353">
        <v>4672730</v>
      </c>
      <c r="D248" s="353">
        <v>5341790</v>
      </c>
      <c r="E248" s="353">
        <f>D248-C248</f>
        <v>669060</v>
      </c>
      <c r="F248" s="362">
        <f>IF(C248=0,0,E248/C248)</f>
        <v>0.14318396312220052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698</v>
      </c>
      <c r="C249" s="353">
        <v>12690606</v>
      </c>
      <c r="D249" s="353">
        <v>8089246</v>
      </c>
      <c r="E249" s="353">
        <f>D249-C249</f>
        <v>-4601360</v>
      </c>
      <c r="F249" s="362">
        <f>IF(C249=0,0,E249/C249)</f>
        <v>-0.3625800060296569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699</v>
      </c>
      <c r="C250" s="353">
        <f>C248+C249</f>
        <v>17363336</v>
      </c>
      <c r="D250" s="353">
        <f>LN_IH4+LN_IH5</f>
        <v>13431036</v>
      </c>
      <c r="E250" s="353">
        <f>D250-C250</f>
        <v>-3932300</v>
      </c>
      <c r="F250" s="362">
        <f>IF(C250=0,0,E250/C250)</f>
        <v>-0.22647145686750519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700</v>
      </c>
      <c r="C251" s="353">
        <f>C250*C313</f>
        <v>7692883.0670620101</v>
      </c>
      <c r="D251" s="353">
        <f>LN_IH6*LN_III10</f>
        <v>6050485.9974734029</v>
      </c>
      <c r="E251" s="353">
        <f>D251-C251</f>
        <v>-1642397.0695886072</v>
      </c>
      <c r="F251" s="362">
        <f>IF(C251=0,0,E251/C251)</f>
        <v>-0.21349564984559882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701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637</v>
      </c>
      <c r="C254" s="353">
        <f>C188+C203</f>
        <v>104788824</v>
      </c>
      <c r="D254" s="353">
        <f>LN_IF23</f>
        <v>109982431</v>
      </c>
      <c r="E254" s="353">
        <f>D254-C254</f>
        <v>5193607</v>
      </c>
      <c r="F254" s="362">
        <f>IF(C254=0,0,E254/C254)</f>
        <v>4.9562604118927794E-2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638</v>
      </c>
      <c r="C255" s="353">
        <f>C189+C204</f>
        <v>27029112</v>
      </c>
      <c r="D255" s="353">
        <f>LN_IF24</f>
        <v>26697923</v>
      </c>
      <c r="E255" s="353">
        <f>D255-C255</f>
        <v>-331189</v>
      </c>
      <c r="F255" s="362">
        <f>IF(C255=0,0,E255/C255)</f>
        <v>-1.2253047750884306E-2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702</v>
      </c>
      <c r="C256" s="353">
        <f>C254*C313</f>
        <v>46427032.787186816</v>
      </c>
      <c r="D256" s="353">
        <f>LN_IH8*LN_III10</f>
        <v>49545482.473100714</v>
      </c>
      <c r="E256" s="353">
        <f>D256-C256</f>
        <v>3118449.6859138981</v>
      </c>
      <c r="F256" s="362">
        <f>IF(C256=0,0,E256/C256)</f>
        <v>6.7168834592732027E-2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703</v>
      </c>
      <c r="C257" s="353">
        <f>C256-C255</f>
        <v>19397920.787186816</v>
      </c>
      <c r="D257" s="353">
        <f>LN_IH10-LN_IH9</f>
        <v>22847559.473100714</v>
      </c>
      <c r="E257" s="353">
        <f>D257-C257</f>
        <v>3449638.6859138981</v>
      </c>
      <c r="F257" s="362">
        <f>IF(C257=0,0,E257/C257)</f>
        <v>0.17783548679055008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706</v>
      </c>
      <c r="C261" s="361">
        <f>C15+C42+C188+C221</f>
        <v>244179796</v>
      </c>
      <c r="D261" s="361">
        <f>LN_IA1+LN_IB1+LN_IF1+LN_IG1</f>
        <v>237352780</v>
      </c>
      <c r="E261" s="361">
        <f t="shared" ref="E261:E274" si="26">D261-C261</f>
        <v>-6827016</v>
      </c>
      <c r="F261" s="415">
        <f t="shared" ref="F261:F274" si="27">IF(C261=0,0,E261/C261)</f>
        <v>-2.7958971675117624E-2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707</v>
      </c>
      <c r="C262" s="361">
        <f>C16+C43+C189+C222</f>
        <v>124326280</v>
      </c>
      <c r="D262" s="361">
        <f>+LN_IA2+LN_IB2+LN_IF2+LN_IG2</f>
        <v>130458162</v>
      </c>
      <c r="E262" s="361">
        <f t="shared" si="26"/>
        <v>6131882</v>
      </c>
      <c r="F262" s="415">
        <f t="shared" si="27"/>
        <v>4.9320883726272517E-2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708</v>
      </c>
      <c r="C263" s="366">
        <f>IF(C261=0,0,C262/C261)</f>
        <v>0.50915875120151222</v>
      </c>
      <c r="D263" s="366">
        <f>IF(LN_IIA1=0,0,LN_IIA2/LN_IIA1)</f>
        <v>0.54963823048544025</v>
      </c>
      <c r="E263" s="367">
        <f t="shared" si="26"/>
        <v>4.0479479283928033E-2</v>
      </c>
      <c r="F263" s="371">
        <f t="shared" si="27"/>
        <v>7.9502668251119332E-2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709</v>
      </c>
      <c r="C264" s="369">
        <f>C18+C45+C191+C224</f>
        <v>11999</v>
      </c>
      <c r="D264" s="369">
        <f>LN_IA4+LN_IB4+LN_IF4+LN_IG3</f>
        <v>11911</v>
      </c>
      <c r="E264" s="369">
        <f t="shared" si="26"/>
        <v>-88</v>
      </c>
      <c r="F264" s="415">
        <f t="shared" si="27"/>
        <v>-7.3339444953746148E-3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710</v>
      </c>
      <c r="C265" s="439">
        <f>IF(C264=0,0,C266/C264)</f>
        <v>1.2820382531877657</v>
      </c>
      <c r="D265" s="439">
        <f>IF(LN_IIA4=0,0,LN_IIA6/LN_IIA4)</f>
        <v>1.2504638653345648</v>
      </c>
      <c r="E265" s="439">
        <f t="shared" si="26"/>
        <v>-3.157438785320088E-2</v>
      </c>
      <c r="F265" s="415">
        <f t="shared" si="27"/>
        <v>-2.4628272810652659E-2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711</v>
      </c>
      <c r="C266" s="376">
        <f>C20+C47+C193+C226</f>
        <v>15383.177</v>
      </c>
      <c r="D266" s="376">
        <f>LN_IA6+LN_IB6+LN_IF6+LN_IG5</f>
        <v>14894.275100000001</v>
      </c>
      <c r="E266" s="376">
        <f t="shared" si="26"/>
        <v>-488.90189999999893</v>
      </c>
      <c r="F266" s="415">
        <f t="shared" si="27"/>
        <v>-3.1781594920216996E-2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712</v>
      </c>
      <c r="C267" s="361">
        <f>C27+C56+C203+C233</f>
        <v>359880789</v>
      </c>
      <c r="D267" s="361">
        <f>LN_IA11+LN_IB13+LN_IF14+LN_IG9</f>
        <v>378171683</v>
      </c>
      <c r="E267" s="361">
        <f t="shared" si="26"/>
        <v>18290894</v>
      </c>
      <c r="F267" s="415">
        <f t="shared" si="27"/>
        <v>5.0824869120757649E-2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633</v>
      </c>
      <c r="C268" s="366">
        <f>IF(C261=0,0,C267/C261)</f>
        <v>1.473835243109139</v>
      </c>
      <c r="D268" s="366">
        <f>IF(LN_IIA1=0,0,LN_IIA7/LN_IIA1)</f>
        <v>1.5932894613663258</v>
      </c>
      <c r="E268" s="367">
        <f t="shared" si="26"/>
        <v>0.11945421825718672</v>
      </c>
      <c r="F268" s="371">
        <f t="shared" si="27"/>
        <v>8.1049913018222619E-2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713</v>
      </c>
      <c r="C269" s="361">
        <f>C28+C57+C204+C234</f>
        <v>143304747</v>
      </c>
      <c r="D269" s="361">
        <f>LN_IA12+LN_IB14+LN_IF15+LN_IG10</f>
        <v>146826640</v>
      </c>
      <c r="E269" s="361">
        <f t="shared" si="26"/>
        <v>3521893</v>
      </c>
      <c r="F269" s="415">
        <f t="shared" si="27"/>
        <v>2.457624798709564E-2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632</v>
      </c>
      <c r="C270" s="366">
        <f>IF(C267=0,0,C269/C267)</f>
        <v>0.39820060247783884</v>
      </c>
      <c r="D270" s="366">
        <f>IF(LN_IIA7=0,0,LN_IIA9/LN_IIA7)</f>
        <v>0.38825392434261136</v>
      </c>
      <c r="E270" s="367">
        <f t="shared" si="26"/>
        <v>-9.9466781352274825E-3</v>
      </c>
      <c r="F270" s="371">
        <f t="shared" si="27"/>
        <v>-2.497906350049043E-2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714</v>
      </c>
      <c r="C271" s="353">
        <f>C261+C267</f>
        <v>604060585</v>
      </c>
      <c r="D271" s="353">
        <f>LN_IIA1+LN_IIA7</f>
        <v>615524463</v>
      </c>
      <c r="E271" s="353">
        <f t="shared" si="26"/>
        <v>11463878</v>
      </c>
      <c r="F271" s="415">
        <f t="shared" si="27"/>
        <v>1.8978026848085115E-2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715</v>
      </c>
      <c r="C272" s="353">
        <f>C262+C269</f>
        <v>267631027</v>
      </c>
      <c r="D272" s="353">
        <f>LN_IIA2+LN_IIA9</f>
        <v>277284802</v>
      </c>
      <c r="E272" s="353">
        <f t="shared" si="26"/>
        <v>9653775</v>
      </c>
      <c r="F272" s="415">
        <f t="shared" si="27"/>
        <v>3.6071210084322548E-2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716</v>
      </c>
      <c r="C273" s="366">
        <f>IF(C271=0,0,C272/C271)</f>
        <v>0.44305328578920605</v>
      </c>
      <c r="D273" s="366">
        <f>IF(LN_IIA11=0,0,LN_IIA12/LN_IIA11)</f>
        <v>0.45048542936627362</v>
      </c>
      <c r="E273" s="367">
        <f t="shared" si="26"/>
        <v>7.4321435770675626E-3</v>
      </c>
      <c r="F273" s="371">
        <f t="shared" si="27"/>
        <v>1.6774830060968322E-2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49654</v>
      </c>
      <c r="D274" s="421">
        <f>LN_IA8+LN_IB10+LN_IF11+LN_IG6</f>
        <v>49361</v>
      </c>
      <c r="E274" s="442">
        <f t="shared" si="26"/>
        <v>-293</v>
      </c>
      <c r="F274" s="371">
        <f t="shared" si="27"/>
        <v>-5.9008337696862291E-3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718</v>
      </c>
      <c r="C277" s="361">
        <f>C15+C188+C221</f>
        <v>164074797</v>
      </c>
      <c r="D277" s="361">
        <f>LN_IA1+LN_IF1+LN_IG1</f>
        <v>166373690</v>
      </c>
      <c r="E277" s="361">
        <f t="shared" ref="E277:E291" si="28">D277-C277</f>
        <v>2298893</v>
      </c>
      <c r="F277" s="415">
        <f t="shared" ref="F277:F291" si="29">IF(C277=0,0,E277/C277)</f>
        <v>1.401125000325309E-2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719</v>
      </c>
      <c r="C278" s="361">
        <f>C16+C189+C222</f>
        <v>63905640</v>
      </c>
      <c r="D278" s="361">
        <f>LN_IA2+LN_IF2+LN_IG2</f>
        <v>74103379</v>
      </c>
      <c r="E278" s="361">
        <f t="shared" si="28"/>
        <v>10197739</v>
      </c>
      <c r="F278" s="415">
        <f t="shared" si="29"/>
        <v>0.15957494518480686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720</v>
      </c>
      <c r="C279" s="366">
        <f>IF(C277=0,0,C278/C277)</f>
        <v>0.38949089786166247</v>
      </c>
      <c r="D279" s="366">
        <f>IF(D277=0,0,LN_IIB2/D277)</f>
        <v>0.44540323052280684</v>
      </c>
      <c r="E279" s="367">
        <f t="shared" si="28"/>
        <v>5.5912332661144371E-2</v>
      </c>
      <c r="F279" s="371">
        <f t="shared" si="29"/>
        <v>0.14355234735421993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721</v>
      </c>
      <c r="C280" s="369">
        <f>C18+C191+C224</f>
        <v>7821</v>
      </c>
      <c r="D280" s="369">
        <f>LN_IA4+LN_IF4+LN_IG3</f>
        <v>8075</v>
      </c>
      <c r="E280" s="369">
        <f t="shared" si="28"/>
        <v>254</v>
      </c>
      <c r="F280" s="415">
        <f t="shared" si="29"/>
        <v>3.2476665388057796E-2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722</v>
      </c>
      <c r="C281" s="439">
        <f>IF(C280=0,0,C282/C280)</f>
        <v>1.2952000767165326</v>
      </c>
      <c r="D281" s="439">
        <f>IF(LN_IIB4=0,0,LN_IIB6/LN_IIB4)</f>
        <v>1.2492590835913313</v>
      </c>
      <c r="E281" s="439">
        <f t="shared" si="28"/>
        <v>-4.5940993125201279E-2</v>
      </c>
      <c r="F281" s="415">
        <f t="shared" si="29"/>
        <v>-3.5470190244017354E-2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723</v>
      </c>
      <c r="C282" s="376">
        <f>C20+C193+C226</f>
        <v>10129.759800000002</v>
      </c>
      <c r="D282" s="376">
        <f>LN_IA6+LN_IF6+LN_IG5</f>
        <v>10087.767100000001</v>
      </c>
      <c r="E282" s="376">
        <f t="shared" si="28"/>
        <v>-41.992700000000696</v>
      </c>
      <c r="F282" s="415">
        <f t="shared" si="29"/>
        <v>-4.1454783557652265E-3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724</v>
      </c>
      <c r="C283" s="361">
        <f>C27+C203+C233</f>
        <v>181114512</v>
      </c>
      <c r="D283" s="361">
        <f>LN_IA11+LN_IF14+LN_IG9</f>
        <v>200368749</v>
      </c>
      <c r="E283" s="361">
        <f t="shared" si="28"/>
        <v>19254237</v>
      </c>
      <c r="F283" s="415">
        <f t="shared" si="29"/>
        <v>0.10630974176160991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725</v>
      </c>
      <c r="C284" s="366">
        <f>IF(C277=0,0,C283/C277)</f>
        <v>1.1038533358660807</v>
      </c>
      <c r="D284" s="366">
        <f>IF(D277=0,0,LN_IIB7/D277)</f>
        <v>1.2043295367194176</v>
      </c>
      <c r="E284" s="367">
        <f t="shared" si="28"/>
        <v>0.10047620085333686</v>
      </c>
      <c r="F284" s="371">
        <f t="shared" si="29"/>
        <v>9.1023143735398035E-2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726</v>
      </c>
      <c r="C285" s="361">
        <f>C28+C204+C234</f>
        <v>44817339</v>
      </c>
      <c r="D285" s="361">
        <f>LN_IA12+LN_IF15+LN_IG10</f>
        <v>47774661</v>
      </c>
      <c r="E285" s="361">
        <f t="shared" si="28"/>
        <v>2957322</v>
      </c>
      <c r="F285" s="415">
        <f t="shared" si="29"/>
        <v>6.598611309787937E-2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727</v>
      </c>
      <c r="C286" s="366">
        <f>IF(C283=0,0,C285/C283)</f>
        <v>0.24745305334781786</v>
      </c>
      <c r="D286" s="366">
        <f>IF(LN_IIB7=0,0,LN_IIB9/LN_IIB7)</f>
        <v>0.23843369406872925</v>
      </c>
      <c r="E286" s="367">
        <f t="shared" si="28"/>
        <v>-9.0193592790886179E-3</v>
      </c>
      <c r="F286" s="371">
        <f t="shared" si="29"/>
        <v>-3.6448769401164288E-2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728</v>
      </c>
      <c r="C287" s="353">
        <f>C277+C283</f>
        <v>345189309</v>
      </c>
      <c r="D287" s="353">
        <f>D277+LN_IIB7</f>
        <v>366742439</v>
      </c>
      <c r="E287" s="353">
        <f t="shared" si="28"/>
        <v>21553130</v>
      </c>
      <c r="F287" s="415">
        <f t="shared" si="29"/>
        <v>6.2438579173956975E-2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729</v>
      </c>
      <c r="C288" s="353">
        <f>C278+C285</f>
        <v>108722979</v>
      </c>
      <c r="D288" s="353">
        <f>LN_IIB2+LN_IIB9</f>
        <v>121878040</v>
      </c>
      <c r="E288" s="353">
        <f t="shared" si="28"/>
        <v>13155061</v>
      </c>
      <c r="F288" s="415">
        <f t="shared" si="29"/>
        <v>0.12099614194714073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730</v>
      </c>
      <c r="C289" s="366">
        <f>IF(C287=0,0,C288/C287)</f>
        <v>0.31496624074183016</v>
      </c>
      <c r="D289" s="366">
        <f>IF(LN_IIB11=0,0,LN_IIB12/LN_IIB11)</f>
        <v>0.33232597877771108</v>
      </c>
      <c r="E289" s="367">
        <f t="shared" si="28"/>
        <v>1.7359738035880923E-2</v>
      </c>
      <c r="F289" s="371">
        <f t="shared" si="29"/>
        <v>5.5116186404593946E-2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35635</v>
      </c>
      <c r="D290" s="421">
        <f>LN_IA8+LN_IF11+LN_IG6</f>
        <v>36639</v>
      </c>
      <c r="E290" s="442">
        <f t="shared" si="28"/>
        <v>1004</v>
      </c>
      <c r="F290" s="371">
        <f t="shared" si="29"/>
        <v>2.8174547495439878E-2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731</v>
      </c>
      <c r="C291" s="361">
        <f>C287-C288</f>
        <v>236466330</v>
      </c>
      <c r="D291" s="429">
        <f>LN_IIB11-LN_IIB12</f>
        <v>244864399</v>
      </c>
      <c r="E291" s="353">
        <f t="shared" si="28"/>
        <v>8398069</v>
      </c>
      <c r="F291" s="415">
        <f t="shared" si="29"/>
        <v>3.5514861671849855E-2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619</v>
      </c>
      <c r="C294" s="379">
        <f>IF(C18=0,0,C22/C18)</f>
        <v>4.9198076923076925</v>
      </c>
      <c r="D294" s="379">
        <f>IF(LN_IA4=0,0,LN_IA8/LN_IA4)</f>
        <v>4.8870733478576618</v>
      </c>
      <c r="E294" s="379">
        <f t="shared" ref="E294:E300" si="30">D294-C294</f>
        <v>-3.2734344450030761E-2</v>
      </c>
      <c r="F294" s="415">
        <f t="shared" ref="F294:F300" si="31">IF(C294=0,0,E294/C294)</f>
        <v>-6.65358211078294E-3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640</v>
      </c>
      <c r="C295" s="379">
        <f>IF(C45=0,0,C51/C45)</f>
        <v>3.355433221637147</v>
      </c>
      <c r="D295" s="379">
        <f>IF(LN_IB4=0,0,(LN_IB10)/(LN_IB4))</f>
        <v>3.3164754953076119</v>
      </c>
      <c r="E295" s="379">
        <f t="shared" si="30"/>
        <v>-3.8957726329535092E-2</v>
      </c>
      <c r="F295" s="415">
        <f t="shared" si="31"/>
        <v>-1.1610341722291006E-2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655</v>
      </c>
      <c r="C296" s="379">
        <f>IF(C86=0,0,C93/C86)</f>
        <v>4.0523255813953485</v>
      </c>
      <c r="D296" s="379">
        <f>IF(LN_IC4=0,0,LN_IC11/LN_IC4)</f>
        <v>4.7983870967741939</v>
      </c>
      <c r="E296" s="379">
        <f t="shared" si="30"/>
        <v>0.74606151537884546</v>
      </c>
      <c r="F296" s="415">
        <f t="shared" si="31"/>
        <v>0.18410700236034638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3.9124245038826575</v>
      </c>
      <c r="D297" s="379">
        <f>IF(LN_ID4=0,0,LN_ID11/LN_ID4)</f>
        <v>3.8547681539807526</v>
      </c>
      <c r="E297" s="379">
        <f t="shared" si="30"/>
        <v>-5.7656349901904935E-2</v>
      </c>
      <c r="F297" s="415">
        <f t="shared" si="31"/>
        <v>-1.47367316211948E-2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732</v>
      </c>
      <c r="C298" s="379">
        <f>IF(C156=0,0,C163/C156)</f>
        <v>5.5454545454545459</v>
      </c>
      <c r="D298" s="379">
        <f>IF(LN_IE4=0,0,LN_IE11/LN_IE4)</f>
        <v>4.4754098360655741</v>
      </c>
      <c r="E298" s="379">
        <f t="shared" si="30"/>
        <v>-1.0700447093889718</v>
      </c>
      <c r="F298" s="415">
        <f t="shared" si="31"/>
        <v>-0.19295888202096212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2.6033755274261603</v>
      </c>
      <c r="D299" s="379">
        <f>IF(LN_IG3=0,0,LN_IG6/LN_IG3)</f>
        <v>2.8909090909090911</v>
      </c>
      <c r="E299" s="379">
        <f t="shared" si="30"/>
        <v>0.2875335634829308</v>
      </c>
      <c r="F299" s="415">
        <f t="shared" si="31"/>
        <v>0.1104464417268308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733</v>
      </c>
      <c r="C300" s="379">
        <f>IF(C264=0,0,C274/C264)</f>
        <v>4.1381781815151264</v>
      </c>
      <c r="D300" s="379">
        <f>IF(LN_IIA4=0,0,LN_IIA14/LN_IIA4)</f>
        <v>4.1441524641088066</v>
      </c>
      <c r="E300" s="379">
        <f t="shared" si="30"/>
        <v>5.974282593680158E-3</v>
      </c>
      <c r="F300" s="415">
        <f t="shared" si="31"/>
        <v>1.4436987320572E-3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728</v>
      </c>
      <c r="C304" s="353">
        <f>C35+C66+C214+C221+C233</f>
        <v>604060585</v>
      </c>
      <c r="D304" s="353">
        <f>LN_IIA11</f>
        <v>615524463</v>
      </c>
      <c r="E304" s="353">
        <f t="shared" ref="E304:E316" si="32">D304-C304</f>
        <v>11463878</v>
      </c>
      <c r="F304" s="362">
        <f>IF(C304=0,0,E304/C304)</f>
        <v>1.8978026848085115E-2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731</v>
      </c>
      <c r="C305" s="353">
        <f>C291</f>
        <v>236466330</v>
      </c>
      <c r="D305" s="353">
        <f>LN_IIB14</f>
        <v>244864399</v>
      </c>
      <c r="E305" s="353">
        <f t="shared" si="32"/>
        <v>8398069</v>
      </c>
      <c r="F305" s="362">
        <f>IF(C305=0,0,E305/C305)</f>
        <v>3.5514861671849855E-2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735</v>
      </c>
      <c r="C306" s="353">
        <f>C250</f>
        <v>17363336</v>
      </c>
      <c r="D306" s="353">
        <f>LN_IH6</f>
        <v>13431036</v>
      </c>
      <c r="E306" s="353">
        <f t="shared" si="32"/>
        <v>-3932300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736</v>
      </c>
      <c r="C307" s="353">
        <f>C73-C74</f>
        <v>76682182</v>
      </c>
      <c r="D307" s="353">
        <f>LN_IB32-LN_IB33</f>
        <v>73534115</v>
      </c>
      <c r="E307" s="353">
        <f t="shared" si="32"/>
        <v>-3148067</v>
      </c>
      <c r="F307" s="362">
        <f t="shared" ref="F307:F316" si="33">IF(C307=0,0,E307/C307)</f>
        <v>-4.105343533390847E-2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737</v>
      </c>
      <c r="C308" s="353">
        <v>5917710</v>
      </c>
      <c r="D308" s="353">
        <v>6410112</v>
      </c>
      <c r="E308" s="353">
        <f t="shared" si="32"/>
        <v>492402</v>
      </c>
      <c r="F308" s="362">
        <f t="shared" si="33"/>
        <v>8.3208200469438345E-2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738</v>
      </c>
      <c r="C309" s="353">
        <f>C305+C307+C308+C306</f>
        <v>336429558</v>
      </c>
      <c r="D309" s="353">
        <f>LN_III2+LN_III3+LN_III4+LN_III5</f>
        <v>338239662</v>
      </c>
      <c r="E309" s="353">
        <f t="shared" si="32"/>
        <v>1810104</v>
      </c>
      <c r="F309" s="362">
        <f t="shared" si="33"/>
        <v>5.3803358146075854E-3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739</v>
      </c>
      <c r="C310" s="353">
        <f>C304-C309</f>
        <v>267631027</v>
      </c>
      <c r="D310" s="353">
        <f>LN_III1-LN_III6</f>
        <v>277284801</v>
      </c>
      <c r="E310" s="353">
        <f t="shared" si="32"/>
        <v>9653774</v>
      </c>
      <c r="F310" s="362">
        <f t="shared" si="33"/>
        <v>3.6071206347834998E-2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740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741</v>
      </c>
      <c r="C312" s="353">
        <f>C310+C311</f>
        <v>267631027</v>
      </c>
      <c r="D312" s="353">
        <f>LN_III7+LN_III8</f>
        <v>277284801</v>
      </c>
      <c r="E312" s="353">
        <f t="shared" si="32"/>
        <v>9653774</v>
      </c>
      <c r="F312" s="362">
        <f t="shared" si="33"/>
        <v>3.6071206347834998E-2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742</v>
      </c>
      <c r="C313" s="448">
        <f>IF(C304=0,0,C312/C304)</f>
        <v>0.44305328578920605</v>
      </c>
      <c r="D313" s="448">
        <f>IF(LN_III1=0,0,LN_III9/LN_III1)</f>
        <v>0.4504854277416428</v>
      </c>
      <c r="E313" s="448">
        <f t="shared" si="32"/>
        <v>7.4321419524367438E-3</v>
      </c>
      <c r="F313" s="362">
        <f t="shared" si="33"/>
        <v>1.6774826394071199E-2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700</v>
      </c>
      <c r="C314" s="353">
        <f>C306*C313</f>
        <v>7692883.0670620101</v>
      </c>
      <c r="D314" s="353">
        <f>D313*LN_III5</f>
        <v>6050485.9974734029</v>
      </c>
      <c r="E314" s="353">
        <f t="shared" si="32"/>
        <v>-1642397.0695886072</v>
      </c>
      <c r="F314" s="362">
        <f t="shared" si="33"/>
        <v>-0.21349564984559882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703</v>
      </c>
      <c r="C315" s="353">
        <f>(C214*C313)-C215</f>
        <v>19397920.787186816</v>
      </c>
      <c r="D315" s="353">
        <f>D313*LN_IH8-LN_IH9</f>
        <v>22847559.473100714</v>
      </c>
      <c r="E315" s="353">
        <f t="shared" si="32"/>
        <v>3449638.6859138981</v>
      </c>
      <c r="F315" s="362">
        <f t="shared" si="33"/>
        <v>0.17783548679055008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745</v>
      </c>
      <c r="C318" s="353">
        <f>C314+C315+C316</f>
        <v>27090803.854248825</v>
      </c>
      <c r="D318" s="353">
        <f>D314+D315+D316</f>
        <v>28898045.470574118</v>
      </c>
      <c r="E318" s="353">
        <f>D318-C318</f>
        <v>1807241.6163252927</v>
      </c>
      <c r="F318" s="362">
        <f>IF(C318=0,0,E318/C318)</f>
        <v>6.6710520147295352E-2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746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8492008.8677063733</v>
      </c>
      <c r="D322" s="353">
        <f>LN_ID22</f>
        <v>8623146.2433007173</v>
      </c>
      <c r="E322" s="353">
        <f>LN_IV2-C322</f>
        <v>131137.37559434399</v>
      </c>
      <c r="F322" s="362">
        <f>IF(C322=0,0,E322/C322)</f>
        <v>1.5442444495440475E-2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732</v>
      </c>
      <c r="C323" s="353">
        <f>C162+C176</f>
        <v>280646.5480532418</v>
      </c>
      <c r="D323" s="353">
        <f>LN_IE10+LN_IE22</f>
        <v>204962.09453986934</v>
      </c>
      <c r="E323" s="353">
        <f>LN_IV3-C323</f>
        <v>-75684.453513372457</v>
      </c>
      <c r="F323" s="362">
        <f>IF(C323=0,0,E323/C323)</f>
        <v>-0.26967890408192108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747</v>
      </c>
      <c r="C324" s="353">
        <f>C92+C106</f>
        <v>1250674.211746589</v>
      </c>
      <c r="D324" s="353">
        <f>LN_IC10+LN_IC22</f>
        <v>1149980.4394451212</v>
      </c>
      <c r="E324" s="353">
        <f>LN_IV1-C324</f>
        <v>-100693.77230146783</v>
      </c>
      <c r="F324" s="362">
        <f>IF(C324=0,0,E324/C324)</f>
        <v>-8.0511592352133954E-2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748</v>
      </c>
      <c r="C325" s="429">
        <f>C324+C322+C323</f>
        <v>10023329.627506204</v>
      </c>
      <c r="D325" s="429">
        <f>LN_IV1+LN_IV2+LN_IV3</f>
        <v>9978088.7772857081</v>
      </c>
      <c r="E325" s="353">
        <f>LN_IV4-C325</f>
        <v>-45240.850220495835</v>
      </c>
      <c r="F325" s="362">
        <f>IF(C325=0,0,E325/C325)</f>
        <v>-4.5135550662072478E-3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749</v>
      </c>
      <c r="B327" s="446" t="s">
        <v>750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751</v>
      </c>
      <c r="C329" s="431">
        <v>10155651</v>
      </c>
      <c r="D329" s="431">
        <v>10979391</v>
      </c>
      <c r="E329" s="431">
        <f t="shared" ref="E329:E335" si="34">D329-C329</f>
        <v>823740</v>
      </c>
      <c r="F329" s="462">
        <f t="shared" ref="F329:F335" si="35">IF(C329=0,0,E329/C329)</f>
        <v>8.1111491523290821E-2</v>
      </c>
    </row>
    <row r="330" spans="1:22" s="333" customFormat="1" ht="11.25" customHeight="1" x14ac:dyDescent="0.2">
      <c r="A330" s="364">
        <v>2</v>
      </c>
      <c r="B330" s="360" t="s">
        <v>752</v>
      </c>
      <c r="C330" s="429">
        <v>4302191</v>
      </c>
      <c r="D330" s="429">
        <v>5934953</v>
      </c>
      <c r="E330" s="431">
        <f t="shared" si="34"/>
        <v>1632762</v>
      </c>
      <c r="F330" s="463">
        <f t="shared" si="35"/>
        <v>0.37951871499893891</v>
      </c>
    </row>
    <row r="331" spans="1:22" s="333" customFormat="1" ht="11.25" customHeight="1" x14ac:dyDescent="0.2">
      <c r="A331" s="339">
        <v>3</v>
      </c>
      <c r="B331" s="360" t="s">
        <v>753</v>
      </c>
      <c r="C331" s="429">
        <v>271933218</v>
      </c>
      <c r="D331" s="429">
        <v>283219755</v>
      </c>
      <c r="E331" s="431">
        <f t="shared" si="34"/>
        <v>11286537</v>
      </c>
      <c r="F331" s="462">
        <f t="shared" si="35"/>
        <v>4.1504811670341799E-2</v>
      </c>
    </row>
    <row r="332" spans="1:22" s="333" customFormat="1" ht="11.25" customHeight="1" x14ac:dyDescent="0.2">
      <c r="A332" s="364">
        <v>4</v>
      </c>
      <c r="B332" s="360" t="s">
        <v>754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755</v>
      </c>
      <c r="C333" s="429">
        <v>604060585</v>
      </c>
      <c r="D333" s="429">
        <v>615524464</v>
      </c>
      <c r="E333" s="431">
        <f t="shared" si="34"/>
        <v>11463879</v>
      </c>
      <c r="F333" s="462">
        <f t="shared" si="35"/>
        <v>1.8978028503548201E-2</v>
      </c>
    </row>
    <row r="334" spans="1:22" s="333" customFormat="1" ht="11.25" customHeight="1" x14ac:dyDescent="0.2">
      <c r="A334" s="339">
        <v>6</v>
      </c>
      <c r="B334" s="360" t="s">
        <v>756</v>
      </c>
      <c r="C334" s="429">
        <v>163776</v>
      </c>
      <c r="D334" s="429">
        <v>71577</v>
      </c>
      <c r="E334" s="429">
        <f t="shared" si="34"/>
        <v>-92199</v>
      </c>
      <c r="F334" s="463">
        <f t="shared" si="35"/>
        <v>-0.56295794255568576</v>
      </c>
    </row>
    <row r="335" spans="1:22" s="333" customFormat="1" ht="11.25" customHeight="1" x14ac:dyDescent="0.2">
      <c r="A335" s="364">
        <v>7</v>
      </c>
      <c r="B335" s="360" t="s">
        <v>757</v>
      </c>
      <c r="C335" s="429">
        <v>17527112</v>
      </c>
      <c r="D335" s="429">
        <v>13502614</v>
      </c>
      <c r="E335" s="429">
        <f t="shared" si="34"/>
        <v>-4024498</v>
      </c>
      <c r="F335" s="462">
        <f t="shared" si="35"/>
        <v>-0.22961558070719237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FILING&amp;RWILLIAM W. BACKUS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610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758</v>
      </c>
      <c r="B5" s="710"/>
      <c r="C5" s="710"/>
      <c r="D5" s="710"/>
      <c r="E5" s="710"/>
    </row>
    <row r="6" spans="1:5" s="338" customFormat="1" ht="15.75" customHeight="1" x14ac:dyDescent="0.25">
      <c r="A6" s="710" t="s">
        <v>759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760</v>
      </c>
      <c r="D9" s="494" t="s">
        <v>761</v>
      </c>
      <c r="E9" s="495" t="s">
        <v>762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763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764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640</v>
      </c>
      <c r="C14" s="513">
        <v>80104999</v>
      </c>
      <c r="D14" s="513">
        <v>70979090</v>
      </c>
      <c r="E14" s="514">
        <f t="shared" ref="E14:E22" si="0">D14-C14</f>
        <v>-9125909</v>
      </c>
    </row>
    <row r="15" spans="1:5" s="506" customFormat="1" x14ac:dyDescent="0.2">
      <c r="A15" s="512">
        <v>2</v>
      </c>
      <c r="B15" s="511" t="s">
        <v>619</v>
      </c>
      <c r="C15" s="513">
        <v>122661517</v>
      </c>
      <c r="D15" s="515">
        <v>125132685</v>
      </c>
      <c r="E15" s="514">
        <f t="shared" si="0"/>
        <v>2471168</v>
      </c>
    </row>
    <row r="16" spans="1:5" s="506" customFormat="1" x14ac:dyDescent="0.2">
      <c r="A16" s="512">
        <v>3</v>
      </c>
      <c r="B16" s="511" t="s">
        <v>765</v>
      </c>
      <c r="C16" s="513">
        <v>38530367</v>
      </c>
      <c r="D16" s="515">
        <v>38116863</v>
      </c>
      <c r="E16" s="514">
        <f t="shared" si="0"/>
        <v>-413504</v>
      </c>
    </row>
    <row r="17" spans="1:5" s="506" customFormat="1" x14ac:dyDescent="0.2">
      <c r="A17" s="512">
        <v>4</v>
      </c>
      <c r="B17" s="511" t="s">
        <v>114</v>
      </c>
      <c r="C17" s="513">
        <v>37204651</v>
      </c>
      <c r="D17" s="515">
        <v>36860359</v>
      </c>
      <c r="E17" s="514">
        <f t="shared" si="0"/>
        <v>-344292</v>
      </c>
    </row>
    <row r="18" spans="1:5" s="506" customFormat="1" x14ac:dyDescent="0.2">
      <c r="A18" s="512">
        <v>5</v>
      </c>
      <c r="B18" s="511" t="s">
        <v>732</v>
      </c>
      <c r="C18" s="513">
        <v>1325716</v>
      </c>
      <c r="D18" s="515">
        <v>1256504</v>
      </c>
      <c r="E18" s="514">
        <f t="shared" si="0"/>
        <v>-69212</v>
      </c>
    </row>
    <row r="19" spans="1:5" s="506" customFormat="1" x14ac:dyDescent="0.2">
      <c r="A19" s="512">
        <v>6</v>
      </c>
      <c r="B19" s="511" t="s">
        <v>430</v>
      </c>
      <c r="C19" s="513">
        <v>2882913</v>
      </c>
      <c r="D19" s="515">
        <v>3124142</v>
      </c>
      <c r="E19" s="514">
        <f t="shared" si="0"/>
        <v>241229</v>
      </c>
    </row>
    <row r="20" spans="1:5" s="506" customFormat="1" x14ac:dyDescent="0.2">
      <c r="A20" s="512">
        <v>7</v>
      </c>
      <c r="B20" s="511" t="s">
        <v>747</v>
      </c>
      <c r="C20" s="513">
        <v>3268265</v>
      </c>
      <c r="D20" s="515">
        <v>2711434</v>
      </c>
      <c r="E20" s="514">
        <f t="shared" si="0"/>
        <v>-556831</v>
      </c>
    </row>
    <row r="21" spans="1:5" s="506" customFormat="1" x14ac:dyDescent="0.2">
      <c r="A21" s="512"/>
      <c r="B21" s="516" t="s">
        <v>766</v>
      </c>
      <c r="C21" s="517">
        <f>SUM(C15+C16+C19)</f>
        <v>164074797</v>
      </c>
      <c r="D21" s="517">
        <f>SUM(D15+D16+D19)</f>
        <v>166373690</v>
      </c>
      <c r="E21" s="517">
        <f t="shared" si="0"/>
        <v>2298893</v>
      </c>
    </row>
    <row r="22" spans="1:5" s="506" customFormat="1" x14ac:dyDescent="0.2">
      <c r="A22" s="512"/>
      <c r="B22" s="516" t="s">
        <v>706</v>
      </c>
      <c r="C22" s="517">
        <f>SUM(C14+C21)</f>
        <v>244179796</v>
      </c>
      <c r="D22" s="517">
        <f>SUM(D14+D21)</f>
        <v>237352780</v>
      </c>
      <c r="E22" s="517">
        <f t="shared" si="0"/>
        <v>-6827016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767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640</v>
      </c>
      <c r="C25" s="513">
        <v>178766277</v>
      </c>
      <c r="D25" s="513">
        <v>177802934</v>
      </c>
      <c r="E25" s="514">
        <f t="shared" ref="E25:E33" si="1">D25-C25</f>
        <v>-963343</v>
      </c>
    </row>
    <row r="26" spans="1:5" s="506" customFormat="1" x14ac:dyDescent="0.2">
      <c r="A26" s="512">
        <v>2</v>
      </c>
      <c r="B26" s="511" t="s">
        <v>619</v>
      </c>
      <c r="C26" s="513">
        <v>107995681</v>
      </c>
      <c r="D26" s="515">
        <v>121311471</v>
      </c>
      <c r="E26" s="514">
        <f t="shared" si="1"/>
        <v>13315790</v>
      </c>
    </row>
    <row r="27" spans="1:5" s="506" customFormat="1" x14ac:dyDescent="0.2">
      <c r="A27" s="512">
        <v>3</v>
      </c>
      <c r="B27" s="511" t="s">
        <v>765</v>
      </c>
      <c r="C27" s="513">
        <v>66258457</v>
      </c>
      <c r="D27" s="515">
        <v>71865568</v>
      </c>
      <c r="E27" s="514">
        <f t="shared" si="1"/>
        <v>5607111</v>
      </c>
    </row>
    <row r="28" spans="1:5" s="506" customFormat="1" x14ac:dyDescent="0.2">
      <c r="A28" s="512">
        <v>4</v>
      </c>
      <c r="B28" s="511" t="s">
        <v>114</v>
      </c>
      <c r="C28" s="513">
        <v>65160639</v>
      </c>
      <c r="D28" s="515">
        <v>70686346</v>
      </c>
      <c r="E28" s="514">
        <f t="shared" si="1"/>
        <v>5525707</v>
      </c>
    </row>
    <row r="29" spans="1:5" s="506" customFormat="1" x14ac:dyDescent="0.2">
      <c r="A29" s="512">
        <v>5</v>
      </c>
      <c r="B29" s="511" t="s">
        <v>732</v>
      </c>
      <c r="C29" s="513">
        <v>1097818</v>
      </c>
      <c r="D29" s="515">
        <v>1179222</v>
      </c>
      <c r="E29" s="514">
        <f t="shared" si="1"/>
        <v>81404</v>
      </c>
    </row>
    <row r="30" spans="1:5" s="506" customFormat="1" x14ac:dyDescent="0.2">
      <c r="A30" s="512">
        <v>6</v>
      </c>
      <c r="B30" s="511" t="s">
        <v>430</v>
      </c>
      <c r="C30" s="513">
        <v>6860374</v>
      </c>
      <c r="D30" s="515">
        <v>7191710</v>
      </c>
      <c r="E30" s="514">
        <f t="shared" si="1"/>
        <v>331336</v>
      </c>
    </row>
    <row r="31" spans="1:5" s="506" customFormat="1" x14ac:dyDescent="0.2">
      <c r="A31" s="512">
        <v>7</v>
      </c>
      <c r="B31" s="511" t="s">
        <v>747</v>
      </c>
      <c r="C31" s="514">
        <v>10017380</v>
      </c>
      <c r="D31" s="518">
        <v>10411627</v>
      </c>
      <c r="E31" s="514">
        <f t="shared" si="1"/>
        <v>394247</v>
      </c>
    </row>
    <row r="32" spans="1:5" s="506" customFormat="1" x14ac:dyDescent="0.2">
      <c r="A32" s="512"/>
      <c r="B32" s="516" t="s">
        <v>768</v>
      </c>
      <c r="C32" s="517">
        <f>SUM(C26+C27+C30)</f>
        <v>181114512</v>
      </c>
      <c r="D32" s="517">
        <f>SUM(D26+D27+D30)</f>
        <v>200368749</v>
      </c>
      <c r="E32" s="517">
        <f t="shared" si="1"/>
        <v>19254237</v>
      </c>
    </row>
    <row r="33" spans="1:5" s="506" customFormat="1" x14ac:dyDescent="0.2">
      <c r="A33" s="512"/>
      <c r="B33" s="516" t="s">
        <v>712</v>
      </c>
      <c r="C33" s="517">
        <f>SUM(C25+C32)</f>
        <v>359880789</v>
      </c>
      <c r="D33" s="517">
        <f>SUM(D25+D32)</f>
        <v>378171683</v>
      </c>
      <c r="E33" s="517">
        <f t="shared" si="1"/>
        <v>18290894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637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769</v>
      </c>
      <c r="C36" s="514">
        <f t="shared" ref="C36:D42" si="2">C14+C25</f>
        <v>258871276</v>
      </c>
      <c r="D36" s="514">
        <f t="shared" si="2"/>
        <v>248782024</v>
      </c>
      <c r="E36" s="514">
        <f t="shared" ref="E36:E44" si="3">D36-C36</f>
        <v>-10089252</v>
      </c>
    </row>
    <row r="37" spans="1:5" s="506" customFormat="1" x14ac:dyDescent="0.2">
      <c r="A37" s="512">
        <v>2</v>
      </c>
      <c r="B37" s="511" t="s">
        <v>770</v>
      </c>
      <c r="C37" s="514">
        <f t="shared" si="2"/>
        <v>230657198</v>
      </c>
      <c r="D37" s="514">
        <f t="shared" si="2"/>
        <v>246444156</v>
      </c>
      <c r="E37" s="514">
        <f t="shared" si="3"/>
        <v>15786958</v>
      </c>
    </row>
    <row r="38" spans="1:5" s="506" customFormat="1" x14ac:dyDescent="0.2">
      <c r="A38" s="512">
        <v>3</v>
      </c>
      <c r="B38" s="511" t="s">
        <v>771</v>
      </c>
      <c r="C38" s="514">
        <f t="shared" si="2"/>
        <v>104788824</v>
      </c>
      <c r="D38" s="514">
        <f t="shared" si="2"/>
        <v>109982431</v>
      </c>
      <c r="E38" s="514">
        <f t="shared" si="3"/>
        <v>5193607</v>
      </c>
    </row>
    <row r="39" spans="1:5" s="506" customFormat="1" x14ac:dyDescent="0.2">
      <c r="A39" s="512">
        <v>4</v>
      </c>
      <c r="B39" s="511" t="s">
        <v>772</v>
      </c>
      <c r="C39" s="514">
        <f t="shared" si="2"/>
        <v>102365290</v>
      </c>
      <c r="D39" s="514">
        <f t="shared" si="2"/>
        <v>107546705</v>
      </c>
      <c r="E39" s="514">
        <f t="shared" si="3"/>
        <v>5181415</v>
      </c>
    </row>
    <row r="40" spans="1:5" s="506" customFormat="1" x14ac:dyDescent="0.2">
      <c r="A40" s="512">
        <v>5</v>
      </c>
      <c r="B40" s="511" t="s">
        <v>773</v>
      </c>
      <c r="C40" s="514">
        <f t="shared" si="2"/>
        <v>2423534</v>
      </c>
      <c r="D40" s="514">
        <f t="shared" si="2"/>
        <v>2435726</v>
      </c>
      <c r="E40" s="514">
        <f t="shared" si="3"/>
        <v>12192</v>
      </c>
    </row>
    <row r="41" spans="1:5" s="506" customFormat="1" x14ac:dyDescent="0.2">
      <c r="A41" s="512">
        <v>6</v>
      </c>
      <c r="B41" s="511" t="s">
        <v>774</v>
      </c>
      <c r="C41" s="514">
        <f t="shared" si="2"/>
        <v>9743287</v>
      </c>
      <c r="D41" s="514">
        <f t="shared" si="2"/>
        <v>10315852</v>
      </c>
      <c r="E41" s="514">
        <f t="shared" si="3"/>
        <v>572565</v>
      </c>
    </row>
    <row r="42" spans="1:5" s="506" customFormat="1" x14ac:dyDescent="0.2">
      <c r="A42" s="512">
        <v>7</v>
      </c>
      <c r="B42" s="511" t="s">
        <v>775</v>
      </c>
      <c r="C42" s="514">
        <f t="shared" si="2"/>
        <v>13285645</v>
      </c>
      <c r="D42" s="514">
        <f t="shared" si="2"/>
        <v>13123061</v>
      </c>
      <c r="E42" s="514">
        <f t="shared" si="3"/>
        <v>-162584</v>
      </c>
    </row>
    <row r="43" spans="1:5" s="506" customFormat="1" x14ac:dyDescent="0.2">
      <c r="A43" s="512"/>
      <c r="B43" s="516" t="s">
        <v>776</v>
      </c>
      <c r="C43" s="517">
        <f>SUM(C37+C38+C41)</f>
        <v>345189309</v>
      </c>
      <c r="D43" s="517">
        <f>SUM(D37+D38+D41)</f>
        <v>366742439</v>
      </c>
      <c r="E43" s="517">
        <f t="shared" si="3"/>
        <v>21553130</v>
      </c>
    </row>
    <row r="44" spans="1:5" s="506" customFormat="1" x14ac:dyDescent="0.2">
      <c r="A44" s="512"/>
      <c r="B44" s="516" t="s">
        <v>714</v>
      </c>
      <c r="C44" s="517">
        <f>SUM(C36+C43)</f>
        <v>604060585</v>
      </c>
      <c r="D44" s="517">
        <f>SUM(D36+D43)</f>
        <v>615524463</v>
      </c>
      <c r="E44" s="517">
        <f t="shared" si="3"/>
        <v>11463878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777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640</v>
      </c>
      <c r="C47" s="513">
        <v>60420640</v>
      </c>
      <c r="D47" s="513">
        <v>56354783</v>
      </c>
      <c r="E47" s="514">
        <f t="shared" ref="E47:E55" si="4">D47-C47</f>
        <v>-4065857</v>
      </c>
    </row>
    <row r="48" spans="1:5" s="506" customFormat="1" x14ac:dyDescent="0.2">
      <c r="A48" s="512">
        <v>2</v>
      </c>
      <c r="B48" s="511" t="s">
        <v>619</v>
      </c>
      <c r="C48" s="513">
        <v>51533821</v>
      </c>
      <c r="D48" s="515">
        <v>62107906</v>
      </c>
      <c r="E48" s="514">
        <f t="shared" si="4"/>
        <v>10574085</v>
      </c>
    </row>
    <row r="49" spans="1:5" s="506" customFormat="1" x14ac:dyDescent="0.2">
      <c r="A49" s="512">
        <v>3</v>
      </c>
      <c r="B49" s="511" t="s">
        <v>765</v>
      </c>
      <c r="C49" s="513">
        <v>11211270</v>
      </c>
      <c r="D49" s="515">
        <v>10630726</v>
      </c>
      <c r="E49" s="514">
        <f t="shared" si="4"/>
        <v>-580544</v>
      </c>
    </row>
    <row r="50" spans="1:5" s="506" customFormat="1" x14ac:dyDescent="0.2">
      <c r="A50" s="512">
        <v>4</v>
      </c>
      <c r="B50" s="511" t="s">
        <v>114</v>
      </c>
      <c r="C50" s="513">
        <v>10926316</v>
      </c>
      <c r="D50" s="515">
        <v>10267905</v>
      </c>
      <c r="E50" s="514">
        <f t="shared" si="4"/>
        <v>-658411</v>
      </c>
    </row>
    <row r="51" spans="1:5" s="506" customFormat="1" x14ac:dyDescent="0.2">
      <c r="A51" s="512">
        <v>5</v>
      </c>
      <c r="B51" s="511" t="s">
        <v>732</v>
      </c>
      <c r="C51" s="513">
        <v>284954</v>
      </c>
      <c r="D51" s="515">
        <v>362821</v>
      </c>
      <c r="E51" s="514">
        <f t="shared" si="4"/>
        <v>77867</v>
      </c>
    </row>
    <row r="52" spans="1:5" s="506" customFormat="1" x14ac:dyDescent="0.2">
      <c r="A52" s="512">
        <v>6</v>
      </c>
      <c r="B52" s="511" t="s">
        <v>430</v>
      </c>
      <c r="C52" s="513">
        <v>1160549</v>
      </c>
      <c r="D52" s="515">
        <v>1364747</v>
      </c>
      <c r="E52" s="514">
        <f t="shared" si="4"/>
        <v>204198</v>
      </c>
    </row>
    <row r="53" spans="1:5" s="506" customFormat="1" x14ac:dyDescent="0.2">
      <c r="A53" s="512">
        <v>7</v>
      </c>
      <c r="B53" s="511" t="s">
        <v>747</v>
      </c>
      <c r="C53" s="513">
        <v>702521</v>
      </c>
      <c r="D53" s="515">
        <v>706485</v>
      </c>
      <c r="E53" s="514">
        <f t="shared" si="4"/>
        <v>3964</v>
      </c>
    </row>
    <row r="54" spans="1:5" s="506" customFormat="1" x14ac:dyDescent="0.2">
      <c r="A54" s="512"/>
      <c r="B54" s="516" t="s">
        <v>778</v>
      </c>
      <c r="C54" s="517">
        <f>SUM(C48+C49+C52)</f>
        <v>63905640</v>
      </c>
      <c r="D54" s="517">
        <f>SUM(D48+D49+D52)</f>
        <v>74103379</v>
      </c>
      <c r="E54" s="517">
        <f t="shared" si="4"/>
        <v>10197739</v>
      </c>
    </row>
    <row r="55" spans="1:5" s="506" customFormat="1" x14ac:dyDescent="0.2">
      <c r="A55" s="512"/>
      <c r="B55" s="516" t="s">
        <v>707</v>
      </c>
      <c r="C55" s="517">
        <f>SUM(C47+C54)</f>
        <v>124326280</v>
      </c>
      <c r="D55" s="517">
        <f>SUM(D47+D54)</f>
        <v>130458162</v>
      </c>
      <c r="E55" s="517">
        <f t="shared" si="4"/>
        <v>6131882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779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640</v>
      </c>
      <c r="C58" s="513">
        <v>98487408</v>
      </c>
      <c r="D58" s="513">
        <v>99051979</v>
      </c>
      <c r="E58" s="514">
        <f t="shared" ref="E58:E66" si="5">D58-C58</f>
        <v>564571</v>
      </c>
    </row>
    <row r="59" spans="1:5" s="506" customFormat="1" x14ac:dyDescent="0.2">
      <c r="A59" s="512">
        <v>2</v>
      </c>
      <c r="B59" s="511" t="s">
        <v>619</v>
      </c>
      <c r="C59" s="513">
        <v>27092973</v>
      </c>
      <c r="D59" s="515">
        <v>29749794</v>
      </c>
      <c r="E59" s="514">
        <f t="shared" si="5"/>
        <v>2656821</v>
      </c>
    </row>
    <row r="60" spans="1:5" s="506" customFormat="1" x14ac:dyDescent="0.2">
      <c r="A60" s="512">
        <v>3</v>
      </c>
      <c r="B60" s="511" t="s">
        <v>765</v>
      </c>
      <c r="C60" s="513">
        <f>C61+C62</f>
        <v>15817842</v>
      </c>
      <c r="D60" s="515">
        <f>D61+D62</f>
        <v>16067197</v>
      </c>
      <c r="E60" s="514">
        <f t="shared" si="5"/>
        <v>249355</v>
      </c>
    </row>
    <row r="61" spans="1:5" s="506" customFormat="1" x14ac:dyDescent="0.2">
      <c r="A61" s="512">
        <v>4</v>
      </c>
      <c r="B61" s="511" t="s">
        <v>114</v>
      </c>
      <c r="C61" s="513">
        <v>15532626</v>
      </c>
      <c r="D61" s="515">
        <v>15800535</v>
      </c>
      <c r="E61" s="514">
        <f t="shared" si="5"/>
        <v>267909</v>
      </c>
    </row>
    <row r="62" spans="1:5" s="506" customFormat="1" x14ac:dyDescent="0.2">
      <c r="A62" s="512">
        <v>5</v>
      </c>
      <c r="B62" s="511" t="s">
        <v>732</v>
      </c>
      <c r="C62" s="513">
        <v>285216</v>
      </c>
      <c r="D62" s="515">
        <v>266662</v>
      </c>
      <c r="E62" s="514">
        <f t="shared" si="5"/>
        <v>-18554</v>
      </c>
    </row>
    <row r="63" spans="1:5" s="506" customFormat="1" x14ac:dyDescent="0.2">
      <c r="A63" s="512">
        <v>6</v>
      </c>
      <c r="B63" s="511" t="s">
        <v>430</v>
      </c>
      <c r="C63" s="513">
        <v>1906524</v>
      </c>
      <c r="D63" s="515">
        <v>1957670</v>
      </c>
      <c r="E63" s="514">
        <f t="shared" si="5"/>
        <v>51146</v>
      </c>
    </row>
    <row r="64" spans="1:5" s="506" customFormat="1" x14ac:dyDescent="0.2">
      <c r="A64" s="512">
        <v>7</v>
      </c>
      <c r="B64" s="511" t="s">
        <v>747</v>
      </c>
      <c r="C64" s="513">
        <v>2365301</v>
      </c>
      <c r="D64" s="515">
        <v>1974665</v>
      </c>
      <c r="E64" s="514">
        <f t="shared" si="5"/>
        <v>-390636</v>
      </c>
    </row>
    <row r="65" spans="1:5" s="506" customFormat="1" x14ac:dyDescent="0.2">
      <c r="A65" s="512"/>
      <c r="B65" s="516" t="s">
        <v>780</v>
      </c>
      <c r="C65" s="517">
        <f>SUM(C59+C60+C63)</f>
        <v>44817339</v>
      </c>
      <c r="D65" s="517">
        <f>SUM(D59+D60+D63)</f>
        <v>47774661</v>
      </c>
      <c r="E65" s="517">
        <f t="shared" si="5"/>
        <v>2957322</v>
      </c>
    </row>
    <row r="66" spans="1:5" s="506" customFormat="1" x14ac:dyDescent="0.2">
      <c r="A66" s="512"/>
      <c r="B66" s="516" t="s">
        <v>713</v>
      </c>
      <c r="C66" s="517">
        <f>SUM(C58+C65)</f>
        <v>143304747</v>
      </c>
      <c r="D66" s="517">
        <f>SUM(D58+D65)</f>
        <v>146826640</v>
      </c>
      <c r="E66" s="517">
        <f t="shared" si="5"/>
        <v>3521893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638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769</v>
      </c>
      <c r="C69" s="514">
        <f t="shared" ref="C69:D75" si="6">C47+C58</f>
        <v>158908048</v>
      </c>
      <c r="D69" s="514">
        <f t="shared" si="6"/>
        <v>155406762</v>
      </c>
      <c r="E69" s="514">
        <f t="shared" ref="E69:E77" si="7">D69-C69</f>
        <v>-3501286</v>
      </c>
    </row>
    <row r="70" spans="1:5" s="506" customFormat="1" x14ac:dyDescent="0.2">
      <c r="A70" s="512">
        <v>2</v>
      </c>
      <c r="B70" s="511" t="s">
        <v>770</v>
      </c>
      <c r="C70" s="514">
        <f t="shared" si="6"/>
        <v>78626794</v>
      </c>
      <c r="D70" s="514">
        <f t="shared" si="6"/>
        <v>91857700</v>
      </c>
      <c r="E70" s="514">
        <f t="shared" si="7"/>
        <v>13230906</v>
      </c>
    </row>
    <row r="71" spans="1:5" s="506" customFormat="1" x14ac:dyDescent="0.2">
      <c r="A71" s="512">
        <v>3</v>
      </c>
      <c r="B71" s="511" t="s">
        <v>771</v>
      </c>
      <c r="C71" s="514">
        <f t="shared" si="6"/>
        <v>27029112</v>
      </c>
      <c r="D71" s="514">
        <f t="shared" si="6"/>
        <v>26697923</v>
      </c>
      <c r="E71" s="514">
        <f t="shared" si="7"/>
        <v>-331189</v>
      </c>
    </row>
    <row r="72" spans="1:5" s="506" customFormat="1" x14ac:dyDescent="0.2">
      <c r="A72" s="512">
        <v>4</v>
      </c>
      <c r="B72" s="511" t="s">
        <v>772</v>
      </c>
      <c r="C72" s="514">
        <f t="shared" si="6"/>
        <v>26458942</v>
      </c>
      <c r="D72" s="514">
        <f t="shared" si="6"/>
        <v>26068440</v>
      </c>
      <c r="E72" s="514">
        <f t="shared" si="7"/>
        <v>-390502</v>
      </c>
    </row>
    <row r="73" spans="1:5" s="506" customFormat="1" x14ac:dyDescent="0.2">
      <c r="A73" s="512">
        <v>5</v>
      </c>
      <c r="B73" s="511" t="s">
        <v>773</v>
      </c>
      <c r="C73" s="514">
        <f t="shared" si="6"/>
        <v>570170</v>
      </c>
      <c r="D73" s="514">
        <f t="shared" si="6"/>
        <v>629483</v>
      </c>
      <c r="E73" s="514">
        <f t="shared" si="7"/>
        <v>59313</v>
      </c>
    </row>
    <row r="74" spans="1:5" s="506" customFormat="1" x14ac:dyDescent="0.2">
      <c r="A74" s="512">
        <v>6</v>
      </c>
      <c r="B74" s="511" t="s">
        <v>774</v>
      </c>
      <c r="C74" s="514">
        <f t="shared" si="6"/>
        <v>3067073</v>
      </c>
      <c r="D74" s="514">
        <f t="shared" si="6"/>
        <v>3322417</v>
      </c>
      <c r="E74" s="514">
        <f t="shared" si="7"/>
        <v>255344</v>
      </c>
    </row>
    <row r="75" spans="1:5" s="506" customFormat="1" x14ac:dyDescent="0.2">
      <c r="A75" s="512">
        <v>7</v>
      </c>
      <c r="B75" s="511" t="s">
        <v>775</v>
      </c>
      <c r="C75" s="514">
        <f t="shared" si="6"/>
        <v>3067822</v>
      </c>
      <c r="D75" s="514">
        <f t="shared" si="6"/>
        <v>2681150</v>
      </c>
      <c r="E75" s="514">
        <f t="shared" si="7"/>
        <v>-386672</v>
      </c>
    </row>
    <row r="76" spans="1:5" s="506" customFormat="1" x14ac:dyDescent="0.2">
      <c r="A76" s="512"/>
      <c r="B76" s="516" t="s">
        <v>781</v>
      </c>
      <c r="C76" s="517">
        <f>SUM(C70+C71+C74)</f>
        <v>108722979</v>
      </c>
      <c r="D76" s="517">
        <f>SUM(D70+D71+D74)</f>
        <v>121878040</v>
      </c>
      <c r="E76" s="517">
        <f t="shared" si="7"/>
        <v>13155061</v>
      </c>
    </row>
    <row r="77" spans="1:5" s="506" customFormat="1" x14ac:dyDescent="0.2">
      <c r="A77" s="512"/>
      <c r="B77" s="516" t="s">
        <v>715</v>
      </c>
      <c r="C77" s="517">
        <f>SUM(C69+C76)</f>
        <v>267631027</v>
      </c>
      <c r="D77" s="517">
        <f>SUM(D69+D76)</f>
        <v>277284802</v>
      </c>
      <c r="E77" s="517">
        <f t="shared" si="7"/>
        <v>9653775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782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783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640</v>
      </c>
      <c r="C83" s="523">
        <f t="shared" ref="C83:D89" si="8">IF(C$44=0,0,C14/C$44)</f>
        <v>0.13261086882535136</v>
      </c>
      <c r="D83" s="523">
        <f t="shared" si="8"/>
        <v>0.11531481568426306</v>
      </c>
      <c r="E83" s="523">
        <f t="shared" ref="E83:E91" si="9">D83-C83</f>
        <v>-1.7296053141088299E-2</v>
      </c>
    </row>
    <row r="84" spans="1:5" s="506" customFormat="1" x14ac:dyDescent="0.2">
      <c r="A84" s="512">
        <v>2</v>
      </c>
      <c r="B84" s="511" t="s">
        <v>619</v>
      </c>
      <c r="C84" s="523">
        <f t="shared" si="8"/>
        <v>0.20306161343071241</v>
      </c>
      <c r="D84" s="523">
        <f t="shared" si="8"/>
        <v>0.20329441398659731</v>
      </c>
      <c r="E84" s="523">
        <f t="shared" si="9"/>
        <v>2.328005558848989E-4</v>
      </c>
    </row>
    <row r="85" spans="1:5" s="506" customFormat="1" x14ac:dyDescent="0.2">
      <c r="A85" s="512">
        <v>3</v>
      </c>
      <c r="B85" s="511" t="s">
        <v>765</v>
      </c>
      <c r="C85" s="523">
        <f t="shared" si="8"/>
        <v>6.3785600247365917E-2</v>
      </c>
      <c r="D85" s="523">
        <f t="shared" si="8"/>
        <v>6.1925829583153381E-2</v>
      </c>
      <c r="E85" s="523">
        <f t="shared" si="9"/>
        <v>-1.8597706642125358E-3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6.1590926347230554E-2</v>
      </c>
      <c r="D86" s="523">
        <f t="shared" si="8"/>
        <v>5.9884474485947442E-2</v>
      </c>
      <c r="E86" s="523">
        <f t="shared" si="9"/>
        <v>-1.706451861283112E-3</v>
      </c>
    </row>
    <row r="87" spans="1:5" s="506" customFormat="1" x14ac:dyDescent="0.2">
      <c r="A87" s="512">
        <v>5</v>
      </c>
      <c r="B87" s="511" t="s">
        <v>732</v>
      </c>
      <c r="C87" s="523">
        <f t="shared" si="8"/>
        <v>2.1946739001353645E-3</v>
      </c>
      <c r="D87" s="523">
        <f t="shared" si="8"/>
        <v>2.0413550972059416E-3</v>
      </c>
      <c r="E87" s="523">
        <f t="shared" si="9"/>
        <v>-1.5331880292942298E-4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4.7725560508140091E-3</v>
      </c>
      <c r="D88" s="523">
        <f t="shared" si="8"/>
        <v>5.0755773130011245E-3</v>
      </c>
      <c r="E88" s="523">
        <f t="shared" si="9"/>
        <v>3.0302126218711544E-4</v>
      </c>
    </row>
    <row r="89" spans="1:5" s="506" customFormat="1" x14ac:dyDescent="0.2">
      <c r="A89" s="512">
        <v>7</v>
      </c>
      <c r="B89" s="511" t="s">
        <v>747</v>
      </c>
      <c r="C89" s="523">
        <f t="shared" si="8"/>
        <v>5.4104920618186008E-3</v>
      </c>
      <c r="D89" s="523">
        <f t="shared" si="8"/>
        <v>4.4050791852930787E-3</v>
      </c>
      <c r="E89" s="523">
        <f t="shared" si="9"/>
        <v>-1.0054128765255221E-3</v>
      </c>
    </row>
    <row r="90" spans="1:5" s="506" customFormat="1" x14ac:dyDescent="0.2">
      <c r="A90" s="512"/>
      <c r="B90" s="516" t="s">
        <v>784</v>
      </c>
      <c r="C90" s="524">
        <f>SUM(C84+C85+C88)</f>
        <v>0.27161976972889235</v>
      </c>
      <c r="D90" s="524">
        <f>SUM(D84+D85+D88)</f>
        <v>0.27029582088275184</v>
      </c>
      <c r="E90" s="525">
        <f t="shared" si="9"/>
        <v>-1.3239488461405102E-3</v>
      </c>
    </row>
    <row r="91" spans="1:5" s="506" customFormat="1" x14ac:dyDescent="0.2">
      <c r="A91" s="512"/>
      <c r="B91" s="516" t="s">
        <v>785</v>
      </c>
      <c r="C91" s="524">
        <f>SUM(C83+C90)</f>
        <v>0.40423063855424368</v>
      </c>
      <c r="D91" s="524">
        <f>SUM(D83+D90)</f>
        <v>0.38561063656701489</v>
      </c>
      <c r="E91" s="525">
        <f t="shared" si="9"/>
        <v>-1.8620001987228796E-2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786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640</v>
      </c>
      <c r="C95" s="523">
        <f t="shared" ref="C95:D101" si="10">IF(C$44=0,0,C25/C$44)</f>
        <v>0.29594097254334184</v>
      </c>
      <c r="D95" s="523">
        <f t="shared" si="10"/>
        <v>0.28886412269206596</v>
      </c>
      <c r="E95" s="523">
        <f t="shared" ref="E95:E103" si="11">D95-C95</f>
        <v>-7.0768498512758793E-3</v>
      </c>
    </row>
    <row r="96" spans="1:5" s="506" customFormat="1" x14ac:dyDescent="0.2">
      <c r="A96" s="512">
        <v>2</v>
      </c>
      <c r="B96" s="511" t="s">
        <v>619</v>
      </c>
      <c r="C96" s="523">
        <f t="shared" si="10"/>
        <v>0.1787828633116329</v>
      </c>
      <c r="D96" s="523">
        <f t="shared" si="10"/>
        <v>0.19708635203342031</v>
      </c>
      <c r="E96" s="523">
        <f t="shared" si="11"/>
        <v>1.8303488721787414E-2</v>
      </c>
    </row>
    <row r="97" spans="1:5" s="506" customFormat="1" x14ac:dyDescent="0.2">
      <c r="A97" s="512">
        <v>3</v>
      </c>
      <c r="B97" s="511" t="s">
        <v>765</v>
      </c>
      <c r="C97" s="523">
        <f t="shared" si="10"/>
        <v>0.10968842967961566</v>
      </c>
      <c r="D97" s="523">
        <f t="shared" si="10"/>
        <v>0.11675501514551502</v>
      </c>
      <c r="E97" s="523">
        <f t="shared" si="11"/>
        <v>7.066585465899361E-3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0.10787103250578747</v>
      </c>
      <c r="D98" s="523">
        <f t="shared" si="10"/>
        <v>0.11483921476570136</v>
      </c>
      <c r="E98" s="523">
        <f t="shared" si="11"/>
        <v>6.9681822599138854E-3</v>
      </c>
    </row>
    <row r="99" spans="1:5" s="506" customFormat="1" x14ac:dyDescent="0.2">
      <c r="A99" s="512">
        <v>5</v>
      </c>
      <c r="B99" s="511" t="s">
        <v>732</v>
      </c>
      <c r="C99" s="523">
        <f t="shared" si="10"/>
        <v>1.8173971738281848E-3</v>
      </c>
      <c r="D99" s="523">
        <f t="shared" si="10"/>
        <v>1.9158003798136615E-3</v>
      </c>
      <c r="E99" s="523">
        <f t="shared" si="11"/>
        <v>9.8403205985476668E-5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1.135709591116593E-2</v>
      </c>
      <c r="D100" s="523">
        <f t="shared" si="10"/>
        <v>1.1683873561983839E-2</v>
      </c>
      <c r="E100" s="523">
        <f t="shared" si="11"/>
        <v>3.2677765081790856E-4</v>
      </c>
    </row>
    <row r="101" spans="1:5" s="506" customFormat="1" x14ac:dyDescent="0.2">
      <c r="A101" s="512">
        <v>7</v>
      </c>
      <c r="B101" s="511" t="s">
        <v>747</v>
      </c>
      <c r="C101" s="523">
        <f t="shared" si="10"/>
        <v>1.6583402805531503E-2</v>
      </c>
      <c r="D101" s="523">
        <f t="shared" si="10"/>
        <v>1.6915049889739315E-2</v>
      </c>
      <c r="E101" s="523">
        <f t="shared" si="11"/>
        <v>3.3164708420781175E-4</v>
      </c>
    </row>
    <row r="102" spans="1:5" s="506" customFormat="1" x14ac:dyDescent="0.2">
      <c r="A102" s="512"/>
      <c r="B102" s="516" t="s">
        <v>787</v>
      </c>
      <c r="C102" s="524">
        <f>SUM(C96+C97+C100)</f>
        <v>0.29982838890241448</v>
      </c>
      <c r="D102" s="524">
        <f>SUM(D96+D97+D100)</f>
        <v>0.32552524074091921</v>
      </c>
      <c r="E102" s="525">
        <f t="shared" si="11"/>
        <v>2.5696851838504731E-2</v>
      </c>
    </row>
    <row r="103" spans="1:5" s="506" customFormat="1" x14ac:dyDescent="0.2">
      <c r="A103" s="512"/>
      <c r="B103" s="516" t="s">
        <v>788</v>
      </c>
      <c r="C103" s="524">
        <f>SUM(C95+C102)</f>
        <v>0.59576936144575632</v>
      </c>
      <c r="D103" s="524">
        <f>SUM(D95+D102)</f>
        <v>0.61438936343298511</v>
      </c>
      <c r="E103" s="525">
        <f t="shared" si="11"/>
        <v>1.8620001987228796E-2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789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790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640</v>
      </c>
      <c r="C109" s="523">
        <f t="shared" ref="C109:D115" si="12">IF(C$77=0,0,C47/C$77)</f>
        <v>0.22576096903742032</v>
      </c>
      <c r="D109" s="523">
        <f t="shared" si="12"/>
        <v>0.20323790771626929</v>
      </c>
      <c r="E109" s="523">
        <f t="shared" ref="E109:E117" si="13">D109-C109</f>
        <v>-2.2523061321151033E-2</v>
      </c>
    </row>
    <row r="110" spans="1:5" s="506" customFormat="1" x14ac:dyDescent="0.2">
      <c r="A110" s="512">
        <v>2</v>
      </c>
      <c r="B110" s="511" t="s">
        <v>619</v>
      </c>
      <c r="C110" s="523">
        <f t="shared" si="12"/>
        <v>0.19255548049740884</v>
      </c>
      <c r="D110" s="523">
        <f t="shared" si="12"/>
        <v>0.22398597237218937</v>
      </c>
      <c r="E110" s="523">
        <f t="shared" si="13"/>
        <v>3.1430491874780531E-2</v>
      </c>
    </row>
    <row r="111" spans="1:5" s="506" customFormat="1" x14ac:dyDescent="0.2">
      <c r="A111" s="512">
        <v>3</v>
      </c>
      <c r="B111" s="511" t="s">
        <v>765</v>
      </c>
      <c r="C111" s="523">
        <f t="shared" si="12"/>
        <v>4.1890770758802938E-2</v>
      </c>
      <c r="D111" s="523">
        <f t="shared" si="12"/>
        <v>3.8338653699455189E-2</v>
      </c>
      <c r="E111" s="523">
        <f t="shared" si="13"/>
        <v>-3.5521170593477494E-3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4.0826043685884002E-2</v>
      </c>
      <c r="D112" s="523">
        <f t="shared" si="12"/>
        <v>3.7030175927204263E-2</v>
      </c>
      <c r="E112" s="523">
        <f t="shared" si="13"/>
        <v>-3.7958677586797385E-3</v>
      </c>
    </row>
    <row r="113" spans="1:5" s="506" customFormat="1" x14ac:dyDescent="0.2">
      <c r="A113" s="512">
        <v>5</v>
      </c>
      <c r="B113" s="511" t="s">
        <v>732</v>
      </c>
      <c r="C113" s="523">
        <f t="shared" si="12"/>
        <v>1.0647270729189408E-3</v>
      </c>
      <c r="D113" s="523">
        <f t="shared" si="12"/>
        <v>1.3084777722509292E-3</v>
      </c>
      <c r="E113" s="523">
        <f t="shared" si="13"/>
        <v>2.4375069933198841E-4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4.3363768880205359E-3</v>
      </c>
      <c r="D114" s="523">
        <f t="shared" si="12"/>
        <v>4.9218240240949084E-3</v>
      </c>
      <c r="E114" s="523">
        <f t="shared" si="13"/>
        <v>5.8544713607437248E-4</v>
      </c>
    </row>
    <row r="115" spans="1:5" s="506" customFormat="1" x14ac:dyDescent="0.2">
      <c r="A115" s="512">
        <v>7</v>
      </c>
      <c r="B115" s="511" t="s">
        <v>747</v>
      </c>
      <c r="C115" s="523">
        <f t="shared" si="12"/>
        <v>2.6249609691181286E-3</v>
      </c>
      <c r="D115" s="523">
        <f t="shared" si="12"/>
        <v>2.5478677334793125E-3</v>
      </c>
      <c r="E115" s="523">
        <f t="shared" si="13"/>
        <v>-7.7093235638816052E-5</v>
      </c>
    </row>
    <row r="116" spans="1:5" s="506" customFormat="1" x14ac:dyDescent="0.2">
      <c r="A116" s="512"/>
      <c r="B116" s="516" t="s">
        <v>784</v>
      </c>
      <c r="C116" s="524">
        <f>SUM(C110+C111+C114)</f>
        <v>0.23878262814423232</v>
      </c>
      <c r="D116" s="524">
        <f>SUM(D110+D111+D114)</f>
        <v>0.26724645009573944</v>
      </c>
      <c r="E116" s="525">
        <f t="shared" si="13"/>
        <v>2.8463821951507123E-2</v>
      </c>
    </row>
    <row r="117" spans="1:5" s="506" customFormat="1" x14ac:dyDescent="0.2">
      <c r="A117" s="512"/>
      <c r="B117" s="516" t="s">
        <v>785</v>
      </c>
      <c r="C117" s="524">
        <f>SUM(C109+C116)</f>
        <v>0.46454359718165261</v>
      </c>
      <c r="D117" s="524">
        <f>SUM(D109+D116)</f>
        <v>0.4704843578120087</v>
      </c>
      <c r="E117" s="525">
        <f t="shared" si="13"/>
        <v>5.94076063035609E-3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791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640</v>
      </c>
      <c r="C121" s="523">
        <f t="shared" ref="C121:D127" si="14">IF(C$77=0,0,C58/C$77)</f>
        <v>0.36799697368422085</v>
      </c>
      <c r="D121" s="523">
        <f t="shared" si="14"/>
        <v>0.3572210892395033</v>
      </c>
      <c r="E121" s="523">
        <f t="shared" ref="E121:E129" si="15">D121-C121</f>
        <v>-1.0775884444717554E-2</v>
      </c>
    </row>
    <row r="122" spans="1:5" s="506" customFormat="1" x14ac:dyDescent="0.2">
      <c r="A122" s="512">
        <v>2</v>
      </c>
      <c r="B122" s="511" t="s">
        <v>619</v>
      </c>
      <c r="C122" s="523">
        <f t="shared" si="14"/>
        <v>0.10123255626859737</v>
      </c>
      <c r="D122" s="523">
        <f t="shared" si="14"/>
        <v>0.10728966674487987</v>
      </c>
      <c r="E122" s="523">
        <f t="shared" si="15"/>
        <v>6.057110476282504E-3</v>
      </c>
    </row>
    <row r="123" spans="1:5" s="506" customFormat="1" x14ac:dyDescent="0.2">
      <c r="A123" s="512">
        <v>3</v>
      </c>
      <c r="B123" s="511" t="s">
        <v>765</v>
      </c>
      <c r="C123" s="523">
        <f t="shared" si="14"/>
        <v>5.9103169678454359E-2</v>
      </c>
      <c r="D123" s="523">
        <f t="shared" si="14"/>
        <v>5.7944744479720887E-2</v>
      </c>
      <c r="E123" s="523">
        <f t="shared" si="15"/>
        <v>-1.1584251987334718E-3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5.8037463645797691E-2</v>
      </c>
      <c r="D124" s="523">
        <f t="shared" si="14"/>
        <v>5.6983054556304175E-2</v>
      </c>
      <c r="E124" s="523">
        <f t="shared" si="15"/>
        <v>-1.054409089493516E-3</v>
      </c>
    </row>
    <row r="125" spans="1:5" s="506" customFormat="1" x14ac:dyDescent="0.2">
      <c r="A125" s="512">
        <v>5</v>
      </c>
      <c r="B125" s="511" t="s">
        <v>732</v>
      </c>
      <c r="C125" s="523">
        <f t="shared" si="14"/>
        <v>1.0657060326566695E-3</v>
      </c>
      <c r="D125" s="523">
        <f t="shared" si="14"/>
        <v>9.6168992341671869E-4</v>
      </c>
      <c r="E125" s="523">
        <f t="shared" si="15"/>
        <v>-1.0401610923995081E-4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7.1237031870747935E-3</v>
      </c>
      <c r="D126" s="523">
        <f t="shared" si="14"/>
        <v>7.0601417238871965E-3</v>
      </c>
      <c r="E126" s="523">
        <f t="shared" si="15"/>
        <v>-6.3561463187596957E-5</v>
      </c>
    </row>
    <row r="127" spans="1:5" s="506" customFormat="1" x14ac:dyDescent="0.2">
      <c r="A127" s="512">
        <v>7</v>
      </c>
      <c r="B127" s="511" t="s">
        <v>747</v>
      </c>
      <c r="C127" s="523">
        <f t="shared" si="14"/>
        <v>8.83791773515109E-3</v>
      </c>
      <c r="D127" s="523">
        <f t="shared" si="14"/>
        <v>7.1214324974074854E-3</v>
      </c>
      <c r="E127" s="523">
        <f t="shared" si="15"/>
        <v>-1.7164852377436045E-3</v>
      </c>
    </row>
    <row r="128" spans="1:5" s="506" customFormat="1" x14ac:dyDescent="0.2">
      <c r="A128" s="512"/>
      <c r="B128" s="516" t="s">
        <v>787</v>
      </c>
      <c r="C128" s="524">
        <f>SUM(C122+C123+C126)</f>
        <v>0.16745942913412651</v>
      </c>
      <c r="D128" s="524">
        <f>SUM(D122+D123+D126)</f>
        <v>0.17229455294848794</v>
      </c>
      <c r="E128" s="525">
        <f t="shared" si="15"/>
        <v>4.8351238143614361E-3</v>
      </c>
    </row>
    <row r="129" spans="1:5" s="506" customFormat="1" x14ac:dyDescent="0.2">
      <c r="A129" s="512"/>
      <c r="B129" s="516" t="s">
        <v>788</v>
      </c>
      <c r="C129" s="524">
        <f>SUM(C121+C128)</f>
        <v>0.53545640281834739</v>
      </c>
      <c r="D129" s="524">
        <f>SUM(D121+D128)</f>
        <v>0.52951564218799119</v>
      </c>
      <c r="E129" s="525">
        <f t="shared" si="15"/>
        <v>-5.9407606303562011E-3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792</v>
      </c>
      <c r="C131" s="525">
        <f>C117+C129</f>
        <v>1</v>
      </c>
      <c r="D131" s="525">
        <f>D117+D129</f>
        <v>0.99999999999999989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793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794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640</v>
      </c>
      <c r="C137" s="530">
        <v>4178</v>
      </c>
      <c r="D137" s="530">
        <v>3836</v>
      </c>
      <c r="E137" s="531">
        <f t="shared" ref="E137:E145" si="16">D137-C137</f>
        <v>-342</v>
      </c>
    </row>
    <row r="138" spans="1:5" s="506" customFormat="1" x14ac:dyDescent="0.2">
      <c r="A138" s="512">
        <v>2</v>
      </c>
      <c r="B138" s="511" t="s">
        <v>619</v>
      </c>
      <c r="C138" s="530">
        <v>5200</v>
      </c>
      <c r="D138" s="530">
        <v>5508</v>
      </c>
      <c r="E138" s="531">
        <f t="shared" si="16"/>
        <v>308</v>
      </c>
    </row>
    <row r="139" spans="1:5" s="506" customFormat="1" x14ac:dyDescent="0.2">
      <c r="A139" s="512">
        <v>3</v>
      </c>
      <c r="B139" s="511" t="s">
        <v>765</v>
      </c>
      <c r="C139" s="530">
        <f>C140+C141</f>
        <v>2384</v>
      </c>
      <c r="D139" s="530">
        <f>D140+D141</f>
        <v>2347</v>
      </c>
      <c r="E139" s="531">
        <f t="shared" si="16"/>
        <v>-37</v>
      </c>
    </row>
    <row r="140" spans="1:5" s="506" customFormat="1" x14ac:dyDescent="0.2">
      <c r="A140" s="512">
        <v>4</v>
      </c>
      <c r="B140" s="511" t="s">
        <v>114</v>
      </c>
      <c r="C140" s="530">
        <v>2318</v>
      </c>
      <c r="D140" s="530">
        <v>2286</v>
      </c>
      <c r="E140" s="531">
        <f t="shared" si="16"/>
        <v>-32</v>
      </c>
    </row>
    <row r="141" spans="1:5" s="506" customFormat="1" x14ac:dyDescent="0.2">
      <c r="A141" s="512">
        <v>5</v>
      </c>
      <c r="B141" s="511" t="s">
        <v>732</v>
      </c>
      <c r="C141" s="530">
        <v>66</v>
      </c>
      <c r="D141" s="530">
        <v>61</v>
      </c>
      <c r="E141" s="531">
        <f t="shared" si="16"/>
        <v>-5</v>
      </c>
    </row>
    <row r="142" spans="1:5" s="506" customFormat="1" x14ac:dyDescent="0.2">
      <c r="A142" s="512">
        <v>6</v>
      </c>
      <c r="B142" s="511" t="s">
        <v>430</v>
      </c>
      <c r="C142" s="530">
        <v>237</v>
      </c>
      <c r="D142" s="530">
        <v>220</v>
      </c>
      <c r="E142" s="531">
        <f t="shared" si="16"/>
        <v>-17</v>
      </c>
    </row>
    <row r="143" spans="1:5" s="506" customFormat="1" x14ac:dyDescent="0.2">
      <c r="A143" s="512">
        <v>7</v>
      </c>
      <c r="B143" s="511" t="s">
        <v>747</v>
      </c>
      <c r="C143" s="530">
        <v>172</v>
      </c>
      <c r="D143" s="530">
        <v>124</v>
      </c>
      <c r="E143" s="531">
        <f t="shared" si="16"/>
        <v>-48</v>
      </c>
    </row>
    <row r="144" spans="1:5" s="506" customFormat="1" x14ac:dyDescent="0.2">
      <c r="A144" s="512"/>
      <c r="B144" s="516" t="s">
        <v>795</v>
      </c>
      <c r="C144" s="532">
        <f>SUM(C138+C139+C142)</f>
        <v>7821</v>
      </c>
      <c r="D144" s="532">
        <f>SUM(D138+D139+D142)</f>
        <v>8075</v>
      </c>
      <c r="E144" s="533">
        <f t="shared" si="16"/>
        <v>254</v>
      </c>
    </row>
    <row r="145" spans="1:5" s="506" customFormat="1" x14ac:dyDescent="0.2">
      <c r="A145" s="512"/>
      <c r="B145" s="516" t="s">
        <v>709</v>
      </c>
      <c r="C145" s="532">
        <f>SUM(C137+C144)</f>
        <v>11999</v>
      </c>
      <c r="D145" s="532">
        <f>SUM(D137+D144)</f>
        <v>11911</v>
      </c>
      <c r="E145" s="533">
        <f t="shared" si="16"/>
        <v>-88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640</v>
      </c>
      <c r="C149" s="534">
        <v>14019</v>
      </c>
      <c r="D149" s="534">
        <v>12722</v>
      </c>
      <c r="E149" s="531">
        <f t="shared" ref="E149:E157" si="17">D149-C149</f>
        <v>-1297</v>
      </c>
    </row>
    <row r="150" spans="1:5" s="506" customFormat="1" x14ac:dyDescent="0.2">
      <c r="A150" s="512">
        <v>2</v>
      </c>
      <c r="B150" s="511" t="s">
        <v>619</v>
      </c>
      <c r="C150" s="534">
        <v>25583</v>
      </c>
      <c r="D150" s="534">
        <v>26918</v>
      </c>
      <c r="E150" s="531">
        <f t="shared" si="17"/>
        <v>1335</v>
      </c>
    </row>
    <row r="151" spans="1:5" s="506" customFormat="1" x14ac:dyDescent="0.2">
      <c r="A151" s="512">
        <v>3</v>
      </c>
      <c r="B151" s="511" t="s">
        <v>765</v>
      </c>
      <c r="C151" s="534">
        <f>C152+C153</f>
        <v>9435</v>
      </c>
      <c r="D151" s="534">
        <f>D152+D153</f>
        <v>9085</v>
      </c>
      <c r="E151" s="531">
        <f t="shared" si="17"/>
        <v>-350</v>
      </c>
    </row>
    <row r="152" spans="1:5" s="506" customFormat="1" x14ac:dyDescent="0.2">
      <c r="A152" s="512">
        <v>4</v>
      </c>
      <c r="B152" s="511" t="s">
        <v>114</v>
      </c>
      <c r="C152" s="534">
        <v>9069</v>
      </c>
      <c r="D152" s="534">
        <v>8812</v>
      </c>
      <c r="E152" s="531">
        <f t="shared" si="17"/>
        <v>-257</v>
      </c>
    </row>
    <row r="153" spans="1:5" s="506" customFormat="1" x14ac:dyDescent="0.2">
      <c r="A153" s="512">
        <v>5</v>
      </c>
      <c r="B153" s="511" t="s">
        <v>732</v>
      </c>
      <c r="C153" s="535">
        <v>366</v>
      </c>
      <c r="D153" s="534">
        <v>273</v>
      </c>
      <c r="E153" s="531">
        <f t="shared" si="17"/>
        <v>-93</v>
      </c>
    </row>
    <row r="154" spans="1:5" s="506" customFormat="1" x14ac:dyDescent="0.2">
      <c r="A154" s="512">
        <v>6</v>
      </c>
      <c r="B154" s="511" t="s">
        <v>430</v>
      </c>
      <c r="C154" s="534">
        <v>617</v>
      </c>
      <c r="D154" s="534">
        <v>636</v>
      </c>
      <c r="E154" s="531">
        <f t="shared" si="17"/>
        <v>19</v>
      </c>
    </row>
    <row r="155" spans="1:5" s="506" customFormat="1" x14ac:dyDescent="0.2">
      <c r="A155" s="512">
        <v>7</v>
      </c>
      <c r="B155" s="511" t="s">
        <v>747</v>
      </c>
      <c r="C155" s="534">
        <v>697</v>
      </c>
      <c r="D155" s="534">
        <v>595</v>
      </c>
      <c r="E155" s="531">
        <f t="shared" si="17"/>
        <v>-102</v>
      </c>
    </row>
    <row r="156" spans="1:5" s="506" customFormat="1" x14ac:dyDescent="0.2">
      <c r="A156" s="512"/>
      <c r="B156" s="516" t="s">
        <v>796</v>
      </c>
      <c r="C156" s="532">
        <f>SUM(C150+C151+C154)</f>
        <v>35635</v>
      </c>
      <c r="D156" s="532">
        <f>SUM(D150+D151+D154)</f>
        <v>36639</v>
      </c>
      <c r="E156" s="533">
        <f t="shared" si="17"/>
        <v>1004</v>
      </c>
    </row>
    <row r="157" spans="1:5" s="506" customFormat="1" x14ac:dyDescent="0.2">
      <c r="A157" s="512"/>
      <c r="B157" s="516" t="s">
        <v>797</v>
      </c>
      <c r="C157" s="532">
        <f>SUM(C149+C156)</f>
        <v>49654</v>
      </c>
      <c r="D157" s="532">
        <f>SUM(D149+D156)</f>
        <v>49361</v>
      </c>
      <c r="E157" s="533">
        <f t="shared" si="17"/>
        <v>-293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798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640</v>
      </c>
      <c r="C161" s="536">
        <f t="shared" ref="C161:D169" si="18">IF(C137=0,0,C149/C137)</f>
        <v>3.355433221637147</v>
      </c>
      <c r="D161" s="536">
        <f t="shared" si="18"/>
        <v>3.3164754953076119</v>
      </c>
      <c r="E161" s="537">
        <f t="shared" ref="E161:E169" si="19">D161-C161</f>
        <v>-3.8957726329535092E-2</v>
      </c>
    </row>
    <row r="162" spans="1:5" s="506" customFormat="1" x14ac:dyDescent="0.2">
      <c r="A162" s="512">
        <v>2</v>
      </c>
      <c r="B162" s="511" t="s">
        <v>619</v>
      </c>
      <c r="C162" s="536">
        <f t="shared" si="18"/>
        <v>4.9198076923076925</v>
      </c>
      <c r="D162" s="536">
        <f t="shared" si="18"/>
        <v>4.8870733478576618</v>
      </c>
      <c r="E162" s="537">
        <f t="shared" si="19"/>
        <v>-3.2734344450030761E-2</v>
      </c>
    </row>
    <row r="163" spans="1:5" s="506" customFormat="1" x14ac:dyDescent="0.2">
      <c r="A163" s="512">
        <v>3</v>
      </c>
      <c r="B163" s="511" t="s">
        <v>765</v>
      </c>
      <c r="C163" s="536">
        <f t="shared" si="18"/>
        <v>3.9576342281879193</v>
      </c>
      <c r="D163" s="536">
        <f t="shared" si="18"/>
        <v>3.8708990200255644</v>
      </c>
      <c r="E163" s="537">
        <f t="shared" si="19"/>
        <v>-8.6735208162354915E-2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3.9124245038826575</v>
      </c>
      <c r="D164" s="536">
        <f t="shared" si="18"/>
        <v>3.8547681539807526</v>
      </c>
      <c r="E164" s="537">
        <f t="shared" si="19"/>
        <v>-5.7656349901904935E-2</v>
      </c>
    </row>
    <row r="165" spans="1:5" s="506" customFormat="1" x14ac:dyDescent="0.2">
      <c r="A165" s="512">
        <v>5</v>
      </c>
      <c r="B165" s="511" t="s">
        <v>732</v>
      </c>
      <c r="C165" s="536">
        <f t="shared" si="18"/>
        <v>5.5454545454545459</v>
      </c>
      <c r="D165" s="536">
        <f t="shared" si="18"/>
        <v>4.4754098360655741</v>
      </c>
      <c r="E165" s="537">
        <f t="shared" si="19"/>
        <v>-1.0700447093889718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2.6033755274261603</v>
      </c>
      <c r="D166" s="536">
        <f t="shared" si="18"/>
        <v>2.8909090909090911</v>
      </c>
      <c r="E166" s="537">
        <f t="shared" si="19"/>
        <v>0.2875335634829308</v>
      </c>
    </row>
    <row r="167" spans="1:5" s="506" customFormat="1" x14ac:dyDescent="0.2">
      <c r="A167" s="512">
        <v>7</v>
      </c>
      <c r="B167" s="511" t="s">
        <v>747</v>
      </c>
      <c r="C167" s="536">
        <f t="shared" si="18"/>
        <v>4.0523255813953485</v>
      </c>
      <c r="D167" s="536">
        <f t="shared" si="18"/>
        <v>4.7983870967741939</v>
      </c>
      <c r="E167" s="537">
        <f t="shared" si="19"/>
        <v>0.74606151537884546</v>
      </c>
    </row>
    <row r="168" spans="1:5" s="506" customFormat="1" x14ac:dyDescent="0.2">
      <c r="A168" s="512"/>
      <c r="B168" s="516" t="s">
        <v>799</v>
      </c>
      <c r="C168" s="538">
        <f t="shared" si="18"/>
        <v>4.5563227208796828</v>
      </c>
      <c r="D168" s="538">
        <f t="shared" si="18"/>
        <v>4.5373374613003099</v>
      </c>
      <c r="E168" s="539">
        <f t="shared" si="19"/>
        <v>-1.8985259579372915E-2</v>
      </c>
    </row>
    <row r="169" spans="1:5" s="506" customFormat="1" x14ac:dyDescent="0.2">
      <c r="A169" s="512"/>
      <c r="B169" s="516" t="s">
        <v>733</v>
      </c>
      <c r="C169" s="538">
        <f t="shared" si="18"/>
        <v>4.1381781815151264</v>
      </c>
      <c r="D169" s="538">
        <f t="shared" si="18"/>
        <v>4.1441524641088066</v>
      </c>
      <c r="E169" s="539">
        <f t="shared" si="19"/>
        <v>5.974282593680158E-3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800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640</v>
      </c>
      <c r="C173" s="541">
        <f t="shared" ref="C173:D181" si="20">IF(C137=0,0,C203/C137)</f>
        <v>1.2574000000000001</v>
      </c>
      <c r="D173" s="541">
        <f t="shared" si="20"/>
        <v>1.2529999999999999</v>
      </c>
      <c r="E173" s="542">
        <f t="shared" ref="E173:E181" si="21">D173-C173</f>
        <v>-4.4000000000001815E-3</v>
      </c>
    </row>
    <row r="174" spans="1:5" s="506" customFormat="1" x14ac:dyDescent="0.2">
      <c r="A174" s="512">
        <v>2</v>
      </c>
      <c r="B174" s="511" t="s">
        <v>619</v>
      </c>
      <c r="C174" s="541">
        <f t="shared" si="20"/>
        <v>1.4507000000000001</v>
      </c>
      <c r="D174" s="541">
        <f t="shared" si="20"/>
        <v>1.3653999999999999</v>
      </c>
      <c r="E174" s="542">
        <f t="shared" si="21"/>
        <v>-8.5300000000000153E-2</v>
      </c>
    </row>
    <row r="175" spans="1:5" s="506" customFormat="1" x14ac:dyDescent="0.2">
      <c r="A175" s="512">
        <v>0</v>
      </c>
      <c r="B175" s="511" t="s">
        <v>765</v>
      </c>
      <c r="C175" s="541">
        <f t="shared" si="20"/>
        <v>1.0012949664429529</v>
      </c>
      <c r="D175" s="541">
        <f t="shared" si="20"/>
        <v>1.0055730293992331</v>
      </c>
      <c r="E175" s="542">
        <f t="shared" si="21"/>
        <v>4.2780629562801931E-3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0.99650000000000005</v>
      </c>
      <c r="D176" s="541">
        <f t="shared" si="20"/>
        <v>1.0051000000000001</v>
      </c>
      <c r="E176" s="542">
        <f t="shared" si="21"/>
        <v>8.600000000000052E-3</v>
      </c>
    </row>
    <row r="177" spans="1:5" s="506" customFormat="1" x14ac:dyDescent="0.2">
      <c r="A177" s="512">
        <v>5</v>
      </c>
      <c r="B177" s="511" t="s">
        <v>732</v>
      </c>
      <c r="C177" s="541">
        <f t="shared" si="20"/>
        <v>1.1697</v>
      </c>
      <c r="D177" s="541">
        <f t="shared" si="20"/>
        <v>1.0233000000000001</v>
      </c>
      <c r="E177" s="542">
        <f t="shared" si="21"/>
        <v>-0.14639999999999986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0.83979999999999999</v>
      </c>
      <c r="D178" s="541">
        <f t="shared" si="20"/>
        <v>0.94120000000000015</v>
      </c>
      <c r="E178" s="542">
        <f t="shared" si="21"/>
        <v>0.10140000000000016</v>
      </c>
    </row>
    <row r="179" spans="1:5" s="506" customFormat="1" x14ac:dyDescent="0.2">
      <c r="A179" s="512">
        <v>7</v>
      </c>
      <c r="B179" s="511" t="s">
        <v>747</v>
      </c>
      <c r="C179" s="541">
        <f t="shared" si="20"/>
        <v>1.0202</v>
      </c>
      <c r="D179" s="541">
        <f t="shared" si="20"/>
        <v>1.1507000000000001</v>
      </c>
      <c r="E179" s="542">
        <f t="shared" si="21"/>
        <v>0.13050000000000006</v>
      </c>
    </row>
    <row r="180" spans="1:5" s="506" customFormat="1" x14ac:dyDescent="0.2">
      <c r="A180" s="512"/>
      <c r="B180" s="516" t="s">
        <v>801</v>
      </c>
      <c r="C180" s="543">
        <f t="shared" si="20"/>
        <v>1.2952000767165326</v>
      </c>
      <c r="D180" s="543">
        <f t="shared" si="20"/>
        <v>1.2492590835913313</v>
      </c>
      <c r="E180" s="544">
        <f t="shared" si="21"/>
        <v>-4.5940993125201279E-2</v>
      </c>
    </row>
    <row r="181" spans="1:5" s="506" customFormat="1" x14ac:dyDescent="0.2">
      <c r="A181" s="512"/>
      <c r="B181" s="516" t="s">
        <v>710</v>
      </c>
      <c r="C181" s="543">
        <f t="shared" si="20"/>
        <v>1.2820382531877659</v>
      </c>
      <c r="D181" s="543">
        <f t="shared" si="20"/>
        <v>1.2504638653345648</v>
      </c>
      <c r="E181" s="544">
        <f t="shared" si="21"/>
        <v>-3.1574387853201102E-2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802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803</v>
      </c>
      <c r="C185" s="513">
        <v>231352289</v>
      </c>
      <c r="D185" s="513">
        <v>224371597</v>
      </c>
      <c r="E185" s="514">
        <f>D185-C185</f>
        <v>-6980692</v>
      </c>
    </row>
    <row r="186" spans="1:5" s="506" customFormat="1" ht="25.5" x14ac:dyDescent="0.2">
      <c r="A186" s="512">
        <v>2</v>
      </c>
      <c r="B186" s="511" t="s">
        <v>804</v>
      </c>
      <c r="C186" s="513">
        <v>154670107</v>
      </c>
      <c r="D186" s="513">
        <v>150837482</v>
      </c>
      <c r="E186" s="514">
        <f>D186-C186</f>
        <v>-3832625</v>
      </c>
    </row>
    <row r="187" spans="1:5" s="506" customFormat="1" x14ac:dyDescent="0.2">
      <c r="A187" s="512"/>
      <c r="B187" s="511" t="s">
        <v>652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736</v>
      </c>
      <c r="C188" s="546">
        <f>+C185-C186</f>
        <v>76682182</v>
      </c>
      <c r="D188" s="546">
        <f>+D185-D186</f>
        <v>73534115</v>
      </c>
      <c r="E188" s="514">
        <f t="shared" ref="E188:E197" si="22">D188-C188</f>
        <v>-3148067</v>
      </c>
    </row>
    <row r="189" spans="1:5" s="506" customFormat="1" x14ac:dyDescent="0.2">
      <c r="A189" s="512">
        <v>4</v>
      </c>
      <c r="B189" s="511" t="s">
        <v>654</v>
      </c>
      <c r="C189" s="547">
        <f>IF(C185=0,0,+C188/C185)</f>
        <v>0.3314520134270208</v>
      </c>
      <c r="D189" s="547">
        <f>IF(D185=0,0,+D188/D185)</f>
        <v>0.32773361683564611</v>
      </c>
      <c r="E189" s="523">
        <f t="shared" si="22"/>
        <v>-3.7183965913746841E-3</v>
      </c>
    </row>
    <row r="190" spans="1:5" s="506" customFormat="1" x14ac:dyDescent="0.2">
      <c r="A190" s="512">
        <v>5</v>
      </c>
      <c r="B190" s="511" t="s">
        <v>751</v>
      </c>
      <c r="C190" s="513">
        <v>10155651</v>
      </c>
      <c r="D190" s="513">
        <v>10979391</v>
      </c>
      <c r="E190" s="546">
        <f t="shared" si="22"/>
        <v>823740</v>
      </c>
    </row>
    <row r="191" spans="1:5" s="506" customFormat="1" x14ac:dyDescent="0.2">
      <c r="A191" s="512">
        <v>6</v>
      </c>
      <c r="B191" s="511" t="s">
        <v>737</v>
      </c>
      <c r="C191" s="513">
        <v>5917710</v>
      </c>
      <c r="D191" s="513">
        <v>6410112</v>
      </c>
      <c r="E191" s="546">
        <f t="shared" si="22"/>
        <v>492402</v>
      </c>
    </row>
    <row r="192" spans="1:5" ht="29.25" x14ac:dyDescent="0.2">
      <c r="A192" s="512">
        <v>7</v>
      </c>
      <c r="B192" s="548" t="s">
        <v>805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806</v>
      </c>
      <c r="C193" s="513">
        <v>4672730</v>
      </c>
      <c r="D193" s="513">
        <v>5341790</v>
      </c>
      <c r="E193" s="546">
        <f t="shared" si="22"/>
        <v>669060</v>
      </c>
    </row>
    <row r="194" spans="1:5" s="506" customFormat="1" x14ac:dyDescent="0.2">
      <c r="A194" s="512">
        <v>9</v>
      </c>
      <c r="B194" s="511" t="s">
        <v>807</v>
      </c>
      <c r="C194" s="513">
        <v>12690606</v>
      </c>
      <c r="D194" s="513">
        <v>8089246</v>
      </c>
      <c r="E194" s="546">
        <f t="shared" si="22"/>
        <v>-4601360</v>
      </c>
    </row>
    <row r="195" spans="1:5" s="506" customFormat="1" x14ac:dyDescent="0.2">
      <c r="A195" s="512">
        <v>10</v>
      </c>
      <c r="B195" s="511" t="s">
        <v>808</v>
      </c>
      <c r="C195" s="513">
        <f>+C193+C194</f>
        <v>17363336</v>
      </c>
      <c r="D195" s="513">
        <f>+D193+D194</f>
        <v>13431036</v>
      </c>
      <c r="E195" s="549">
        <f t="shared" si="22"/>
        <v>-3932300</v>
      </c>
    </row>
    <row r="196" spans="1:5" s="506" customFormat="1" x14ac:dyDescent="0.2">
      <c r="A196" s="512">
        <v>11</v>
      </c>
      <c r="B196" s="511" t="s">
        <v>809</v>
      </c>
      <c r="C196" s="513">
        <v>231352289</v>
      </c>
      <c r="D196" s="513">
        <v>224371597</v>
      </c>
      <c r="E196" s="546">
        <f t="shared" si="22"/>
        <v>-6980692</v>
      </c>
    </row>
    <row r="197" spans="1:5" s="506" customFormat="1" x14ac:dyDescent="0.2">
      <c r="A197" s="512">
        <v>12</v>
      </c>
      <c r="B197" s="511" t="s">
        <v>694</v>
      </c>
      <c r="C197" s="513">
        <v>252073735</v>
      </c>
      <c r="D197" s="513">
        <v>264111731</v>
      </c>
      <c r="E197" s="546">
        <f t="shared" si="22"/>
        <v>12037996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810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811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640</v>
      </c>
      <c r="C203" s="553">
        <v>5253.4171999999999</v>
      </c>
      <c r="D203" s="553">
        <v>4806.5079999999998</v>
      </c>
      <c r="E203" s="554">
        <f t="shared" ref="E203:E211" si="23">D203-C203</f>
        <v>-446.90920000000006</v>
      </c>
    </row>
    <row r="204" spans="1:5" s="506" customFormat="1" x14ac:dyDescent="0.2">
      <c r="A204" s="512">
        <v>2</v>
      </c>
      <c r="B204" s="511" t="s">
        <v>619</v>
      </c>
      <c r="C204" s="553">
        <v>7543.64</v>
      </c>
      <c r="D204" s="553">
        <v>7520.6232</v>
      </c>
      <c r="E204" s="554">
        <f t="shared" si="23"/>
        <v>-23.01680000000033</v>
      </c>
    </row>
    <row r="205" spans="1:5" s="506" customFormat="1" x14ac:dyDescent="0.2">
      <c r="A205" s="512">
        <v>3</v>
      </c>
      <c r="B205" s="511" t="s">
        <v>765</v>
      </c>
      <c r="C205" s="553">
        <f>C206+C207</f>
        <v>2387.0871999999999</v>
      </c>
      <c r="D205" s="553">
        <f>D206+D207</f>
        <v>2360.0799000000002</v>
      </c>
      <c r="E205" s="554">
        <f t="shared" si="23"/>
        <v>-27.007299999999759</v>
      </c>
    </row>
    <row r="206" spans="1:5" s="506" customFormat="1" x14ac:dyDescent="0.2">
      <c r="A206" s="512">
        <v>4</v>
      </c>
      <c r="B206" s="511" t="s">
        <v>114</v>
      </c>
      <c r="C206" s="553">
        <v>2309.8870000000002</v>
      </c>
      <c r="D206" s="553">
        <v>2297.6586000000002</v>
      </c>
      <c r="E206" s="554">
        <f t="shared" si="23"/>
        <v>-12.228399999999965</v>
      </c>
    </row>
    <row r="207" spans="1:5" s="506" customFormat="1" x14ac:dyDescent="0.2">
      <c r="A207" s="512">
        <v>5</v>
      </c>
      <c r="B207" s="511" t="s">
        <v>732</v>
      </c>
      <c r="C207" s="553">
        <v>77.200199999999995</v>
      </c>
      <c r="D207" s="553">
        <v>62.421300000000009</v>
      </c>
      <c r="E207" s="554">
        <f t="shared" si="23"/>
        <v>-14.778899999999986</v>
      </c>
    </row>
    <row r="208" spans="1:5" s="506" customFormat="1" x14ac:dyDescent="0.2">
      <c r="A208" s="512">
        <v>6</v>
      </c>
      <c r="B208" s="511" t="s">
        <v>430</v>
      </c>
      <c r="C208" s="553">
        <v>199.0326</v>
      </c>
      <c r="D208" s="553">
        <v>207.06400000000002</v>
      </c>
      <c r="E208" s="554">
        <f t="shared" si="23"/>
        <v>8.0314000000000192</v>
      </c>
    </row>
    <row r="209" spans="1:5" s="506" customFormat="1" x14ac:dyDescent="0.2">
      <c r="A209" s="512">
        <v>7</v>
      </c>
      <c r="B209" s="511" t="s">
        <v>747</v>
      </c>
      <c r="C209" s="553">
        <v>175.4744</v>
      </c>
      <c r="D209" s="553">
        <v>142.68680000000001</v>
      </c>
      <c r="E209" s="554">
        <f t="shared" si="23"/>
        <v>-32.787599999999998</v>
      </c>
    </row>
    <row r="210" spans="1:5" s="506" customFormat="1" x14ac:dyDescent="0.2">
      <c r="A210" s="512"/>
      <c r="B210" s="516" t="s">
        <v>812</v>
      </c>
      <c r="C210" s="555">
        <f>C204+C205+C208</f>
        <v>10129.759800000002</v>
      </c>
      <c r="D210" s="555">
        <f>D204+D205+D208</f>
        <v>10087.767100000001</v>
      </c>
      <c r="E210" s="556">
        <f t="shared" si="23"/>
        <v>-41.992700000000696</v>
      </c>
    </row>
    <row r="211" spans="1:5" s="506" customFormat="1" x14ac:dyDescent="0.2">
      <c r="A211" s="512"/>
      <c r="B211" s="516" t="s">
        <v>711</v>
      </c>
      <c r="C211" s="555">
        <f>C210+C203</f>
        <v>15383.177000000001</v>
      </c>
      <c r="D211" s="555">
        <f>D210+D203</f>
        <v>14894.275100000001</v>
      </c>
      <c r="E211" s="556">
        <f t="shared" si="23"/>
        <v>-488.90190000000075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813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640</v>
      </c>
      <c r="C215" s="557">
        <f>IF(C14*C137=0,0,C25/C14*C137)</f>
        <v>9323.8314041549384</v>
      </c>
      <c r="D215" s="557">
        <f>IF(D14*D137=0,0,D25/D14*D137)</f>
        <v>9609.1969455229701</v>
      </c>
      <c r="E215" s="557">
        <f t="shared" ref="E215:E223" si="24">D215-C215</f>
        <v>285.3655413680317</v>
      </c>
    </row>
    <row r="216" spans="1:5" s="506" customFormat="1" x14ac:dyDescent="0.2">
      <c r="A216" s="512">
        <v>2</v>
      </c>
      <c r="B216" s="511" t="s">
        <v>619</v>
      </c>
      <c r="C216" s="557">
        <f>IF(C15*C138=0,0,C26/C15*C138)</f>
        <v>4578.2699817743169</v>
      </c>
      <c r="D216" s="557">
        <f>IF(D15*D138=0,0,D26/D15*D138)</f>
        <v>5339.8005666385252</v>
      </c>
      <c r="E216" s="557">
        <f t="shared" si="24"/>
        <v>761.53058486420832</v>
      </c>
    </row>
    <row r="217" spans="1:5" s="506" customFormat="1" x14ac:dyDescent="0.2">
      <c r="A217" s="512">
        <v>3</v>
      </c>
      <c r="B217" s="511" t="s">
        <v>765</v>
      </c>
      <c r="C217" s="557">
        <f>C218+C219</f>
        <v>4114.4251770530818</v>
      </c>
      <c r="D217" s="557">
        <f>D218+D219</f>
        <v>4441.0629501663816</v>
      </c>
      <c r="E217" s="557">
        <f t="shared" si="24"/>
        <v>326.63777311329977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4059.7709464335521</v>
      </c>
      <c r="D218" s="557">
        <f t="shared" si="25"/>
        <v>4383.8147901923585</v>
      </c>
      <c r="E218" s="557">
        <f t="shared" si="24"/>
        <v>324.04384375880636</v>
      </c>
    </row>
    <row r="219" spans="1:5" s="506" customFormat="1" x14ac:dyDescent="0.2">
      <c r="A219" s="512">
        <v>5</v>
      </c>
      <c r="B219" s="511" t="s">
        <v>732</v>
      </c>
      <c r="C219" s="557">
        <f t="shared" si="25"/>
        <v>54.654230619529365</v>
      </c>
      <c r="D219" s="557">
        <f t="shared" si="25"/>
        <v>57.24815997402316</v>
      </c>
      <c r="E219" s="557">
        <f t="shared" si="24"/>
        <v>2.5939293544937954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563.9811669654963</v>
      </c>
      <c r="D220" s="557">
        <f t="shared" si="25"/>
        <v>506.43543091191117</v>
      </c>
      <c r="E220" s="557">
        <f t="shared" si="24"/>
        <v>-57.545736053585131</v>
      </c>
    </row>
    <row r="221" spans="1:5" s="506" customFormat="1" x14ac:dyDescent="0.2">
      <c r="A221" s="512">
        <v>7</v>
      </c>
      <c r="B221" s="511" t="s">
        <v>747</v>
      </c>
      <c r="C221" s="557">
        <f t="shared" si="25"/>
        <v>527.18777700094699</v>
      </c>
      <c r="D221" s="557">
        <f t="shared" si="25"/>
        <v>476.14721508987498</v>
      </c>
      <c r="E221" s="557">
        <f t="shared" si="24"/>
        <v>-51.040561911072018</v>
      </c>
    </row>
    <row r="222" spans="1:5" s="506" customFormat="1" x14ac:dyDescent="0.2">
      <c r="A222" s="512"/>
      <c r="B222" s="516" t="s">
        <v>814</v>
      </c>
      <c r="C222" s="558">
        <f>C216+C218+C219+C220</f>
        <v>9256.6763257928942</v>
      </c>
      <c r="D222" s="558">
        <f>D216+D218+D219+D220</f>
        <v>10287.298947716819</v>
      </c>
      <c r="E222" s="558">
        <f t="shared" si="24"/>
        <v>1030.6226219239252</v>
      </c>
    </row>
    <row r="223" spans="1:5" s="506" customFormat="1" x14ac:dyDescent="0.2">
      <c r="A223" s="512"/>
      <c r="B223" s="516" t="s">
        <v>815</v>
      </c>
      <c r="C223" s="558">
        <f>C215+C222</f>
        <v>18580.507729947833</v>
      </c>
      <c r="D223" s="558">
        <f>D215+D222</f>
        <v>19896.495893239789</v>
      </c>
      <c r="E223" s="558">
        <f t="shared" si="24"/>
        <v>1315.9881632919569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816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640</v>
      </c>
      <c r="C227" s="560">
        <f t="shared" ref="C227:D235" si="26">IF(C203=0,0,C47/C203)</f>
        <v>11501.207252300464</v>
      </c>
      <c r="D227" s="560">
        <f t="shared" si="26"/>
        <v>11724.683075530094</v>
      </c>
      <c r="E227" s="560">
        <f t="shared" ref="E227:E235" si="27">D227-C227</f>
        <v>223.4758232296299</v>
      </c>
    </row>
    <row r="228" spans="1:5" s="506" customFormat="1" x14ac:dyDescent="0.2">
      <c r="A228" s="512">
        <v>2</v>
      </c>
      <c r="B228" s="511" t="s">
        <v>619</v>
      </c>
      <c r="C228" s="560">
        <f t="shared" si="26"/>
        <v>6831.426340599498</v>
      </c>
      <c r="D228" s="560">
        <f t="shared" si="26"/>
        <v>8258.3456647582079</v>
      </c>
      <c r="E228" s="560">
        <f t="shared" si="27"/>
        <v>1426.91932415871</v>
      </c>
    </row>
    <row r="229" spans="1:5" s="506" customFormat="1" x14ac:dyDescent="0.2">
      <c r="A229" s="512">
        <v>3</v>
      </c>
      <c r="B229" s="511" t="s">
        <v>765</v>
      </c>
      <c r="C229" s="560">
        <f t="shared" si="26"/>
        <v>4696.6319454102895</v>
      </c>
      <c r="D229" s="560">
        <f t="shared" si="26"/>
        <v>4504.3924148500228</v>
      </c>
      <c r="E229" s="560">
        <f t="shared" si="27"/>
        <v>-192.23953056026676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4730.2383190173368</v>
      </c>
      <c r="D230" s="560">
        <f t="shared" si="26"/>
        <v>4468.8558169607959</v>
      </c>
      <c r="E230" s="560">
        <f t="shared" si="27"/>
        <v>-261.38250205654094</v>
      </c>
    </row>
    <row r="231" spans="1:5" s="506" customFormat="1" x14ac:dyDescent="0.2">
      <c r="A231" s="512">
        <v>5</v>
      </c>
      <c r="B231" s="511" t="s">
        <v>732</v>
      </c>
      <c r="C231" s="560">
        <f t="shared" si="26"/>
        <v>3691.1044271906035</v>
      </c>
      <c r="D231" s="560">
        <f t="shared" si="26"/>
        <v>5812.455043390637</v>
      </c>
      <c r="E231" s="560">
        <f t="shared" si="27"/>
        <v>2121.3506162000335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5830.9493017726745</v>
      </c>
      <c r="D232" s="560">
        <f t="shared" si="26"/>
        <v>6590.942896882123</v>
      </c>
      <c r="E232" s="560">
        <f t="shared" si="27"/>
        <v>759.99359510944851</v>
      </c>
    </row>
    <row r="233" spans="1:5" s="506" customFormat="1" x14ac:dyDescent="0.2">
      <c r="A233" s="512">
        <v>7</v>
      </c>
      <c r="B233" s="511" t="s">
        <v>747</v>
      </c>
      <c r="C233" s="560">
        <f t="shared" si="26"/>
        <v>4003.5526549741726</v>
      </c>
      <c r="D233" s="560">
        <f t="shared" si="26"/>
        <v>4951.2989288427516</v>
      </c>
      <c r="E233" s="560">
        <f t="shared" si="27"/>
        <v>947.74627386857901</v>
      </c>
    </row>
    <row r="234" spans="1:5" x14ac:dyDescent="0.2">
      <c r="A234" s="512"/>
      <c r="B234" s="516" t="s">
        <v>817</v>
      </c>
      <c r="C234" s="561">
        <f t="shared" si="26"/>
        <v>6308.7024037825649</v>
      </c>
      <c r="D234" s="561">
        <f t="shared" si="26"/>
        <v>7345.865369948915</v>
      </c>
      <c r="E234" s="561">
        <f t="shared" si="27"/>
        <v>1037.1629661663501</v>
      </c>
    </row>
    <row r="235" spans="1:5" s="506" customFormat="1" x14ac:dyDescent="0.2">
      <c r="A235" s="512"/>
      <c r="B235" s="516" t="s">
        <v>818</v>
      </c>
      <c r="C235" s="561">
        <f t="shared" si="26"/>
        <v>8081.9638232076504</v>
      </c>
      <c r="D235" s="561">
        <f t="shared" si="26"/>
        <v>8758.9467177224342</v>
      </c>
      <c r="E235" s="561">
        <f t="shared" si="27"/>
        <v>676.98289451478377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819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640</v>
      </c>
      <c r="C239" s="560">
        <f t="shared" ref="C239:D247" si="28">IF(C215=0,0,C58/C215)</f>
        <v>10562.97606969936</v>
      </c>
      <c r="D239" s="560">
        <f t="shared" si="28"/>
        <v>10308.039221336743</v>
      </c>
      <c r="E239" s="562">
        <f t="shared" ref="E239:E247" si="29">D239-C239</f>
        <v>-254.93684836261673</v>
      </c>
    </row>
    <row r="240" spans="1:5" s="506" customFormat="1" x14ac:dyDescent="0.2">
      <c r="A240" s="512">
        <v>2</v>
      </c>
      <c r="B240" s="511" t="s">
        <v>619</v>
      </c>
      <c r="C240" s="560">
        <f t="shared" si="28"/>
        <v>5917.7316121274416</v>
      </c>
      <c r="D240" s="560">
        <f t="shared" si="28"/>
        <v>5571.3305447899693</v>
      </c>
      <c r="E240" s="562">
        <f t="shared" si="29"/>
        <v>-346.40106733747234</v>
      </c>
    </row>
    <row r="241" spans="1:5" x14ac:dyDescent="0.2">
      <c r="A241" s="512">
        <v>3</v>
      </c>
      <c r="B241" s="511" t="s">
        <v>765</v>
      </c>
      <c r="C241" s="560">
        <f t="shared" si="28"/>
        <v>3844.4840577534528</v>
      </c>
      <c r="D241" s="560">
        <f t="shared" si="28"/>
        <v>3617.8719329790297</v>
      </c>
      <c r="E241" s="562">
        <f t="shared" si="29"/>
        <v>-226.61212477442314</v>
      </c>
    </row>
    <row r="242" spans="1:5" x14ac:dyDescent="0.2">
      <c r="A242" s="512">
        <v>4</v>
      </c>
      <c r="B242" s="511" t="s">
        <v>114</v>
      </c>
      <c r="C242" s="560">
        <f t="shared" si="28"/>
        <v>3825.985801894853</v>
      </c>
      <c r="D242" s="560">
        <f t="shared" si="28"/>
        <v>3604.2889027496267</v>
      </c>
      <c r="E242" s="562">
        <f t="shared" si="29"/>
        <v>-221.69689914522633</v>
      </c>
    </row>
    <row r="243" spans="1:5" x14ac:dyDescent="0.2">
      <c r="A243" s="512">
        <v>5</v>
      </c>
      <c r="B243" s="511" t="s">
        <v>732</v>
      </c>
      <c r="C243" s="560">
        <f t="shared" si="28"/>
        <v>5218.5530153284235</v>
      </c>
      <c r="D243" s="560">
        <f t="shared" si="28"/>
        <v>4658.0012374371536</v>
      </c>
      <c r="E243" s="562">
        <f t="shared" si="29"/>
        <v>-560.55177789126992</v>
      </c>
    </row>
    <row r="244" spans="1:5" x14ac:dyDescent="0.2">
      <c r="A244" s="512">
        <v>6</v>
      </c>
      <c r="B244" s="511" t="s">
        <v>430</v>
      </c>
      <c r="C244" s="560">
        <f t="shared" si="28"/>
        <v>3380.4745826142789</v>
      </c>
      <c r="D244" s="560">
        <f t="shared" si="28"/>
        <v>3865.5865693972646</v>
      </c>
      <c r="E244" s="562">
        <f t="shared" si="29"/>
        <v>485.1119867829857</v>
      </c>
    </row>
    <row r="245" spans="1:5" x14ac:dyDescent="0.2">
      <c r="A245" s="512">
        <v>7</v>
      </c>
      <c r="B245" s="511" t="s">
        <v>747</v>
      </c>
      <c r="C245" s="560">
        <f t="shared" si="28"/>
        <v>4486.6385435862467</v>
      </c>
      <c r="D245" s="560">
        <f t="shared" si="28"/>
        <v>4147.1732636875195</v>
      </c>
      <c r="E245" s="562">
        <f t="shared" si="29"/>
        <v>-339.4652798987272</v>
      </c>
    </row>
    <row r="246" spans="1:5" ht="25.5" x14ac:dyDescent="0.2">
      <c r="A246" s="512"/>
      <c r="B246" s="516" t="s">
        <v>820</v>
      </c>
      <c r="C246" s="561">
        <f t="shared" si="28"/>
        <v>4841.6232157886434</v>
      </c>
      <c r="D246" s="561">
        <f t="shared" si="28"/>
        <v>4644.0432267794831</v>
      </c>
      <c r="E246" s="563">
        <f t="shared" si="29"/>
        <v>-197.57998900916027</v>
      </c>
    </row>
    <row r="247" spans="1:5" x14ac:dyDescent="0.2">
      <c r="A247" s="512"/>
      <c r="B247" s="516" t="s">
        <v>821</v>
      </c>
      <c r="C247" s="561">
        <f t="shared" si="28"/>
        <v>7712.6389161596044</v>
      </c>
      <c r="D247" s="561">
        <f t="shared" si="28"/>
        <v>7379.5225444640791</v>
      </c>
      <c r="E247" s="563">
        <f t="shared" si="29"/>
        <v>-333.11637169552523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749</v>
      </c>
      <c r="B249" s="550" t="s">
        <v>746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8492008.8677063733</v>
      </c>
      <c r="D251" s="546">
        <f>((IF((IF(D15=0,0,D26/D15)*D138)=0,0,D59/(IF(D15=0,0,D26/D15)*D138)))-(IF((IF(D17=0,0,D28/D17)*D140)=0,0,D61/(IF(D17=0,0,D28/D17)*D140))))*(IF(D17=0,0,D28/D17)*D140)</f>
        <v>8623146.2433007173</v>
      </c>
      <c r="E251" s="546">
        <f>D251-C251</f>
        <v>131137.37559434399</v>
      </c>
    </row>
    <row r="252" spans="1:5" x14ac:dyDescent="0.2">
      <c r="A252" s="512">
        <v>2</v>
      </c>
      <c r="B252" s="511" t="s">
        <v>732</v>
      </c>
      <c r="C252" s="546">
        <f>IF(C231=0,0,(C228-C231)*C207)+IF(C243=0,0,(C240-C243)*C219)</f>
        <v>280646.5480532418</v>
      </c>
      <c r="D252" s="546">
        <f>IF(D231=0,0,(D228-D231)*D207)+IF(D243=0,0,(D240-D243)*D219)</f>
        <v>204962.09453986934</v>
      </c>
      <c r="E252" s="546">
        <f>D252-C252</f>
        <v>-75684.453513372457</v>
      </c>
    </row>
    <row r="253" spans="1:5" x14ac:dyDescent="0.2">
      <c r="A253" s="512">
        <v>3</v>
      </c>
      <c r="B253" s="511" t="s">
        <v>747</v>
      </c>
      <c r="C253" s="546">
        <f>IF(C233=0,0,(C228-C233)*C209+IF(C221=0,0,(C240-C245)*C221))</f>
        <v>1250674.211746589</v>
      </c>
      <c r="D253" s="546">
        <f>IF(D233=0,0,(D228-D233)*D209+IF(D221=0,0,(D240-D245)*D221))</f>
        <v>1149980.4394451212</v>
      </c>
      <c r="E253" s="546">
        <f>D253-C253</f>
        <v>-100693.77230146783</v>
      </c>
    </row>
    <row r="254" spans="1:5" ht="15" customHeight="1" x14ac:dyDescent="0.2">
      <c r="A254" s="512"/>
      <c r="B254" s="516" t="s">
        <v>748</v>
      </c>
      <c r="C254" s="564">
        <f>+C251+C252+C253</f>
        <v>10023329.627506204</v>
      </c>
      <c r="D254" s="564">
        <f>+D251+D252+D253</f>
        <v>9978088.7772857081</v>
      </c>
      <c r="E254" s="564">
        <f>D254-C254</f>
        <v>-45240.850220495835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822</v>
      </c>
      <c r="B256" s="550" t="s">
        <v>823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714</v>
      </c>
      <c r="C258" s="546">
        <f>+C44</f>
        <v>604060585</v>
      </c>
      <c r="D258" s="549">
        <f>+D44</f>
        <v>615524463</v>
      </c>
      <c r="E258" s="546">
        <f t="shared" ref="E258:E271" si="30">D258-C258</f>
        <v>11463878</v>
      </c>
    </row>
    <row r="259" spans="1:5" x14ac:dyDescent="0.2">
      <c r="A259" s="512">
        <v>2</v>
      </c>
      <c r="B259" s="511" t="s">
        <v>731</v>
      </c>
      <c r="C259" s="546">
        <f>+(C43-C76)</f>
        <v>236466330</v>
      </c>
      <c r="D259" s="549">
        <f>+(D43-D76)</f>
        <v>244864399</v>
      </c>
      <c r="E259" s="546">
        <f t="shared" si="30"/>
        <v>8398069</v>
      </c>
    </row>
    <row r="260" spans="1:5" x14ac:dyDescent="0.2">
      <c r="A260" s="512">
        <v>3</v>
      </c>
      <c r="B260" s="511" t="s">
        <v>735</v>
      </c>
      <c r="C260" s="546">
        <f>C195</f>
        <v>17363336</v>
      </c>
      <c r="D260" s="546">
        <f>D195</f>
        <v>13431036</v>
      </c>
      <c r="E260" s="546">
        <f t="shared" si="30"/>
        <v>-3932300</v>
      </c>
    </row>
    <row r="261" spans="1:5" x14ac:dyDescent="0.2">
      <c r="A261" s="512">
        <v>4</v>
      </c>
      <c r="B261" s="511" t="s">
        <v>736</v>
      </c>
      <c r="C261" s="546">
        <f>C188</f>
        <v>76682182</v>
      </c>
      <c r="D261" s="546">
        <f>D188</f>
        <v>73534115</v>
      </c>
      <c r="E261" s="546">
        <f t="shared" si="30"/>
        <v>-3148067</v>
      </c>
    </row>
    <row r="262" spans="1:5" x14ac:dyDescent="0.2">
      <c r="A262" s="512">
        <v>5</v>
      </c>
      <c r="B262" s="511" t="s">
        <v>737</v>
      </c>
      <c r="C262" s="546">
        <f>C191</f>
        <v>5917710</v>
      </c>
      <c r="D262" s="546">
        <f>D191</f>
        <v>6410112</v>
      </c>
      <c r="E262" s="546">
        <f t="shared" si="30"/>
        <v>492402</v>
      </c>
    </row>
    <row r="263" spans="1:5" x14ac:dyDescent="0.2">
      <c r="A263" s="512">
        <v>6</v>
      </c>
      <c r="B263" s="511" t="s">
        <v>738</v>
      </c>
      <c r="C263" s="546">
        <f>+C259+C260+C261+C262</f>
        <v>336429558</v>
      </c>
      <c r="D263" s="546">
        <f>+D259+D260+D261+D262</f>
        <v>338239662</v>
      </c>
      <c r="E263" s="546">
        <f t="shared" si="30"/>
        <v>1810104</v>
      </c>
    </row>
    <row r="264" spans="1:5" x14ac:dyDescent="0.2">
      <c r="A264" s="512">
        <v>7</v>
      </c>
      <c r="B264" s="511" t="s">
        <v>638</v>
      </c>
      <c r="C264" s="546">
        <f>+C258-C263</f>
        <v>267631027</v>
      </c>
      <c r="D264" s="546">
        <f>+D258-D263</f>
        <v>277284801</v>
      </c>
      <c r="E264" s="546">
        <f t="shared" si="30"/>
        <v>9653774</v>
      </c>
    </row>
    <row r="265" spans="1:5" x14ac:dyDescent="0.2">
      <c r="A265" s="512">
        <v>8</v>
      </c>
      <c r="B265" s="511" t="s">
        <v>824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825</v>
      </c>
      <c r="C266" s="546">
        <f>+C264+C265</f>
        <v>267631027</v>
      </c>
      <c r="D266" s="546">
        <f>+D264+D265</f>
        <v>277284801</v>
      </c>
      <c r="E266" s="565">
        <f t="shared" si="30"/>
        <v>9653774</v>
      </c>
    </row>
    <row r="267" spans="1:5" x14ac:dyDescent="0.2">
      <c r="A267" s="512">
        <v>10</v>
      </c>
      <c r="B267" s="511" t="s">
        <v>826</v>
      </c>
      <c r="C267" s="566">
        <f>IF(C258=0,0,C266/C258)</f>
        <v>0.44305328578920605</v>
      </c>
      <c r="D267" s="566">
        <f>IF(D258=0,0,D266/D258)</f>
        <v>0.4504854277416428</v>
      </c>
      <c r="E267" s="567">
        <f t="shared" si="30"/>
        <v>7.4321419524367438E-3</v>
      </c>
    </row>
    <row r="268" spans="1:5" x14ac:dyDescent="0.2">
      <c r="A268" s="512">
        <v>11</v>
      </c>
      <c r="B268" s="511" t="s">
        <v>700</v>
      </c>
      <c r="C268" s="546">
        <f>+C260*C267</f>
        <v>7692883.0670620101</v>
      </c>
      <c r="D268" s="568">
        <f>+D260*D267</f>
        <v>6050485.9974734029</v>
      </c>
      <c r="E268" s="546">
        <f t="shared" si="30"/>
        <v>-1642397.0695886072</v>
      </c>
    </row>
    <row r="269" spans="1:5" x14ac:dyDescent="0.2">
      <c r="A269" s="512">
        <v>12</v>
      </c>
      <c r="B269" s="511" t="s">
        <v>827</v>
      </c>
      <c r="C269" s="546">
        <f>((C17+C18+C28+C29)*C267)-(C50+C51+C61+C62)</f>
        <v>19397920.787186816</v>
      </c>
      <c r="D269" s="568">
        <f>((D17+D18+D28+D29)*D267)-(D50+D51+D61+D62)</f>
        <v>22847559.473100714</v>
      </c>
      <c r="E269" s="546">
        <f t="shared" si="30"/>
        <v>3449638.6859138981</v>
      </c>
    </row>
    <row r="270" spans="1:5" s="569" customFormat="1" x14ac:dyDescent="0.2">
      <c r="A270" s="570">
        <v>13</v>
      </c>
      <c r="B270" s="571" t="s">
        <v>828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829</v>
      </c>
      <c r="C271" s="546">
        <f>+C268+C269+C270</f>
        <v>27090803.854248825</v>
      </c>
      <c r="D271" s="546">
        <f>+D268+D269+D270</f>
        <v>28898045.470574118</v>
      </c>
      <c r="E271" s="549">
        <f t="shared" si="30"/>
        <v>1807241.6163252927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830</v>
      </c>
      <c r="B273" s="550" t="s">
        <v>831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832</v>
      </c>
      <c r="C275" s="340"/>
      <c r="D275" s="340"/>
      <c r="E275" s="520"/>
    </row>
    <row r="276" spans="1:5" x14ac:dyDescent="0.2">
      <c r="A276" s="512">
        <v>1</v>
      </c>
      <c r="B276" s="511" t="s">
        <v>640</v>
      </c>
      <c r="C276" s="547">
        <f t="shared" ref="C276:D284" si="31">IF(C14=0,0,+C47/C14)</f>
        <v>0.75426803263551634</v>
      </c>
      <c r="D276" s="547">
        <f t="shared" si="31"/>
        <v>0.79396316577177872</v>
      </c>
      <c r="E276" s="574">
        <f t="shared" ref="E276:E284" si="32">D276-C276</f>
        <v>3.9695133136262384E-2</v>
      </c>
    </row>
    <row r="277" spans="1:5" x14ac:dyDescent="0.2">
      <c r="A277" s="512">
        <v>2</v>
      </c>
      <c r="B277" s="511" t="s">
        <v>619</v>
      </c>
      <c r="C277" s="547">
        <f t="shared" si="31"/>
        <v>0.42013030867700746</v>
      </c>
      <c r="D277" s="547">
        <f t="shared" si="31"/>
        <v>0.49633639684148073</v>
      </c>
      <c r="E277" s="574">
        <f t="shared" si="32"/>
        <v>7.6206088164473273E-2</v>
      </c>
    </row>
    <row r="278" spans="1:5" x14ac:dyDescent="0.2">
      <c r="A278" s="512">
        <v>3</v>
      </c>
      <c r="B278" s="511" t="s">
        <v>765</v>
      </c>
      <c r="C278" s="547">
        <f t="shared" si="31"/>
        <v>0.2909723128253619</v>
      </c>
      <c r="D278" s="547">
        <f t="shared" si="31"/>
        <v>0.27889823986827039</v>
      </c>
      <c r="E278" s="574">
        <f t="shared" si="32"/>
        <v>-1.2074072957091508E-2</v>
      </c>
    </row>
    <row r="279" spans="1:5" x14ac:dyDescent="0.2">
      <c r="A279" s="512">
        <v>4</v>
      </c>
      <c r="B279" s="511" t="s">
        <v>114</v>
      </c>
      <c r="C279" s="547">
        <f t="shared" si="31"/>
        <v>0.29368145396660217</v>
      </c>
      <c r="D279" s="547">
        <f t="shared" si="31"/>
        <v>0.27856226251079108</v>
      </c>
      <c r="E279" s="574">
        <f t="shared" si="32"/>
        <v>-1.5119191455811087E-2</v>
      </c>
    </row>
    <row r="280" spans="1:5" x14ac:dyDescent="0.2">
      <c r="A280" s="512">
        <v>5</v>
      </c>
      <c r="B280" s="511" t="s">
        <v>732</v>
      </c>
      <c r="C280" s="547">
        <f t="shared" si="31"/>
        <v>0.21494347205585509</v>
      </c>
      <c r="D280" s="547">
        <f t="shared" si="31"/>
        <v>0.28875435334865629</v>
      </c>
      <c r="E280" s="574">
        <f t="shared" si="32"/>
        <v>7.3810881292801195E-2</v>
      </c>
    </row>
    <row r="281" spans="1:5" x14ac:dyDescent="0.2">
      <c r="A281" s="512">
        <v>6</v>
      </c>
      <c r="B281" s="511" t="s">
        <v>430</v>
      </c>
      <c r="C281" s="547">
        <f t="shared" si="31"/>
        <v>0.40256122886816215</v>
      </c>
      <c r="D281" s="547">
        <f t="shared" si="31"/>
        <v>0.43683897850993969</v>
      </c>
      <c r="E281" s="574">
        <f t="shared" si="32"/>
        <v>3.4277749641777544E-2</v>
      </c>
    </row>
    <row r="282" spans="1:5" x14ac:dyDescent="0.2">
      <c r="A282" s="512">
        <v>7</v>
      </c>
      <c r="B282" s="511" t="s">
        <v>747</v>
      </c>
      <c r="C282" s="547">
        <f t="shared" si="31"/>
        <v>0.2149522759017399</v>
      </c>
      <c r="D282" s="547">
        <f t="shared" si="31"/>
        <v>0.26055769751356661</v>
      </c>
      <c r="E282" s="574">
        <f t="shared" si="32"/>
        <v>4.5605421611826708E-2</v>
      </c>
    </row>
    <row r="283" spans="1:5" ht="29.25" customHeight="1" x14ac:dyDescent="0.2">
      <c r="A283" s="512"/>
      <c r="B283" s="516" t="s">
        <v>833</v>
      </c>
      <c r="C283" s="575">
        <f t="shared" si="31"/>
        <v>0.38949089786166247</v>
      </c>
      <c r="D283" s="575">
        <f t="shared" si="31"/>
        <v>0.44540323052280684</v>
      </c>
      <c r="E283" s="576">
        <f t="shared" si="32"/>
        <v>5.5912332661144371E-2</v>
      </c>
    </row>
    <row r="284" spans="1:5" x14ac:dyDescent="0.2">
      <c r="A284" s="512"/>
      <c r="B284" s="516" t="s">
        <v>834</v>
      </c>
      <c r="C284" s="575">
        <f t="shared" si="31"/>
        <v>0.50915875120151222</v>
      </c>
      <c r="D284" s="575">
        <f t="shared" si="31"/>
        <v>0.54963823048544025</v>
      </c>
      <c r="E284" s="576">
        <f t="shared" si="32"/>
        <v>4.0479479283928033E-2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835</v>
      </c>
      <c r="C286" s="520"/>
      <c r="D286" s="520"/>
      <c r="E286" s="520"/>
    </row>
    <row r="287" spans="1:5" x14ac:dyDescent="0.2">
      <c r="A287" s="512">
        <v>1</v>
      </c>
      <c r="B287" s="511" t="s">
        <v>640</v>
      </c>
      <c r="C287" s="547">
        <f t="shared" ref="C287:D295" si="33">IF(C25=0,0,+C58/C25)</f>
        <v>0.55092833868213298</v>
      </c>
      <c r="D287" s="547">
        <f t="shared" si="33"/>
        <v>0.55708855175584449</v>
      </c>
      <c r="E287" s="574">
        <f t="shared" ref="E287:E295" si="34">D287-C287</f>
        <v>6.1602130737115068E-3</v>
      </c>
    </row>
    <row r="288" spans="1:5" x14ac:dyDescent="0.2">
      <c r="A288" s="512">
        <v>2</v>
      </c>
      <c r="B288" s="511" t="s">
        <v>619</v>
      </c>
      <c r="C288" s="547">
        <f t="shared" si="33"/>
        <v>0.25087089362397741</v>
      </c>
      <c r="D288" s="547">
        <f t="shared" si="33"/>
        <v>0.24523479729299466</v>
      </c>
      <c r="E288" s="574">
        <f t="shared" si="34"/>
        <v>-5.6360963309827483E-3</v>
      </c>
    </row>
    <row r="289" spans="1:5" x14ac:dyDescent="0.2">
      <c r="A289" s="512">
        <v>3</v>
      </c>
      <c r="B289" s="511" t="s">
        <v>765</v>
      </c>
      <c r="C289" s="547">
        <f t="shared" si="33"/>
        <v>0.23872940476111601</v>
      </c>
      <c r="D289" s="547">
        <f t="shared" si="33"/>
        <v>0.22357294942690775</v>
      </c>
      <c r="E289" s="574">
        <f t="shared" si="34"/>
        <v>-1.5156455334208258E-2</v>
      </c>
    </row>
    <row r="290" spans="1:5" x14ac:dyDescent="0.2">
      <c r="A290" s="512">
        <v>4</v>
      </c>
      <c r="B290" s="511" t="s">
        <v>114</v>
      </c>
      <c r="C290" s="547">
        <f t="shared" si="33"/>
        <v>0.23837436584991131</v>
      </c>
      <c r="D290" s="547">
        <f t="shared" si="33"/>
        <v>0.22353022746429699</v>
      </c>
      <c r="E290" s="574">
        <f t="shared" si="34"/>
        <v>-1.4844138385614325E-2</v>
      </c>
    </row>
    <row r="291" spans="1:5" x14ac:dyDescent="0.2">
      <c r="A291" s="512">
        <v>5</v>
      </c>
      <c r="B291" s="511" t="s">
        <v>732</v>
      </c>
      <c r="C291" s="547">
        <f t="shared" si="33"/>
        <v>0.25980262666489345</v>
      </c>
      <c r="D291" s="547">
        <f t="shared" si="33"/>
        <v>0.22613384078655249</v>
      </c>
      <c r="E291" s="574">
        <f t="shared" si="34"/>
        <v>-3.3668785878340962E-2</v>
      </c>
    </row>
    <row r="292" spans="1:5" x14ac:dyDescent="0.2">
      <c r="A292" s="512">
        <v>6</v>
      </c>
      <c r="B292" s="511" t="s">
        <v>430</v>
      </c>
      <c r="C292" s="547">
        <f t="shared" si="33"/>
        <v>0.27790379941385118</v>
      </c>
      <c r="D292" s="547">
        <f t="shared" si="33"/>
        <v>0.27221203302135377</v>
      </c>
      <c r="E292" s="574">
        <f t="shared" si="34"/>
        <v>-5.6917663924974105E-3</v>
      </c>
    </row>
    <row r="293" spans="1:5" x14ac:dyDescent="0.2">
      <c r="A293" s="512">
        <v>7</v>
      </c>
      <c r="B293" s="511" t="s">
        <v>747</v>
      </c>
      <c r="C293" s="547">
        <f t="shared" si="33"/>
        <v>0.23611972391982733</v>
      </c>
      <c r="D293" s="547">
        <f t="shared" si="33"/>
        <v>0.18965959883119132</v>
      </c>
      <c r="E293" s="574">
        <f t="shared" si="34"/>
        <v>-4.6460125088636006E-2</v>
      </c>
    </row>
    <row r="294" spans="1:5" ht="29.25" customHeight="1" x14ac:dyDescent="0.2">
      <c r="A294" s="512"/>
      <c r="B294" s="516" t="s">
        <v>836</v>
      </c>
      <c r="C294" s="575">
        <f t="shared" si="33"/>
        <v>0.24745305334781786</v>
      </c>
      <c r="D294" s="575">
        <f t="shared" si="33"/>
        <v>0.23843369406872925</v>
      </c>
      <c r="E294" s="576">
        <f t="shared" si="34"/>
        <v>-9.0193592790886179E-3</v>
      </c>
    </row>
    <row r="295" spans="1:5" x14ac:dyDescent="0.2">
      <c r="A295" s="512"/>
      <c r="B295" s="516" t="s">
        <v>837</v>
      </c>
      <c r="C295" s="575">
        <f t="shared" si="33"/>
        <v>0.39820060247783884</v>
      </c>
      <c r="D295" s="575">
        <f t="shared" si="33"/>
        <v>0.38825392434261136</v>
      </c>
      <c r="E295" s="576">
        <f t="shared" si="34"/>
        <v>-9.9466781352274825E-3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838</v>
      </c>
      <c r="B297" s="501" t="s">
        <v>839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840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638</v>
      </c>
      <c r="C301" s="514">
        <f>+C48+C47+C50+C51+C52+C59+C58+C61+C62+C63</f>
        <v>267631027</v>
      </c>
      <c r="D301" s="514">
        <f>+D48+D47+D50+D51+D52+D59+D58+D61+D62+D63</f>
        <v>277284802</v>
      </c>
      <c r="E301" s="514">
        <f>D301-C301</f>
        <v>9653775</v>
      </c>
    </row>
    <row r="302" spans="1:5" ht="25.5" x14ac:dyDescent="0.2">
      <c r="A302" s="512">
        <v>2</v>
      </c>
      <c r="B302" s="511" t="s">
        <v>841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842</v>
      </c>
      <c r="C303" s="517">
        <f>+C301+C302</f>
        <v>267631027</v>
      </c>
      <c r="D303" s="517">
        <f>+D301+D302</f>
        <v>277284802</v>
      </c>
      <c r="E303" s="517">
        <f>D303-C303</f>
        <v>9653775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843</v>
      </c>
      <c r="C305" s="513">
        <v>4302191</v>
      </c>
      <c r="D305" s="578">
        <v>5934953</v>
      </c>
      <c r="E305" s="579">
        <f>D305-C305</f>
        <v>1632762</v>
      </c>
    </row>
    <row r="306" spans="1:5" x14ac:dyDescent="0.2">
      <c r="A306" s="512">
        <v>4</v>
      </c>
      <c r="B306" s="516" t="s">
        <v>844</v>
      </c>
      <c r="C306" s="580">
        <f>+C303+C305</f>
        <v>271933218</v>
      </c>
      <c r="D306" s="580">
        <f>+D303+D305</f>
        <v>283219755</v>
      </c>
      <c r="E306" s="580">
        <f>D306-C306</f>
        <v>11286537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845</v>
      </c>
      <c r="C308" s="513">
        <v>271933218</v>
      </c>
      <c r="D308" s="513">
        <v>283219755</v>
      </c>
      <c r="E308" s="514">
        <f>D308-C308</f>
        <v>11286537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846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847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848</v>
      </c>
      <c r="C314" s="514">
        <f>+C14+C15+C16+C19+C25+C26+C27+C30</f>
        <v>604060585</v>
      </c>
      <c r="D314" s="514">
        <f>+D14+D15+D16+D19+D25+D26+D27+D30</f>
        <v>615524463</v>
      </c>
      <c r="E314" s="514">
        <f>D314-C314</f>
        <v>11463878</v>
      </c>
    </row>
    <row r="315" spans="1:5" x14ac:dyDescent="0.2">
      <c r="A315" s="512">
        <v>2</v>
      </c>
      <c r="B315" s="583" t="s">
        <v>849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850</v>
      </c>
      <c r="C316" s="581">
        <f>C314+C315</f>
        <v>604060585</v>
      </c>
      <c r="D316" s="581">
        <f>D314+D315</f>
        <v>615524463</v>
      </c>
      <c r="E316" s="517">
        <f>D316-C316</f>
        <v>11463878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851</v>
      </c>
      <c r="C318" s="513">
        <v>604060585</v>
      </c>
      <c r="D318" s="513">
        <v>615524464</v>
      </c>
      <c r="E318" s="514">
        <f>D318-C318</f>
        <v>11463879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846</v>
      </c>
      <c r="C320" s="581">
        <f>C316-C318</f>
        <v>0</v>
      </c>
      <c r="D320" s="581">
        <f>D316-D318</f>
        <v>-1</v>
      </c>
      <c r="E320" s="517">
        <f>D320-C320</f>
        <v>-1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852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853</v>
      </c>
      <c r="C324" s="513">
        <f>+C193+C194</f>
        <v>17363336</v>
      </c>
      <c r="D324" s="513">
        <f>+D193+D194</f>
        <v>13431036</v>
      </c>
      <c r="E324" s="514">
        <f>D324-C324</f>
        <v>-3932300</v>
      </c>
    </row>
    <row r="325" spans="1:5" x14ac:dyDescent="0.2">
      <c r="A325" s="512">
        <v>2</v>
      </c>
      <c r="B325" s="511" t="s">
        <v>854</v>
      </c>
      <c r="C325" s="513">
        <v>163776</v>
      </c>
      <c r="D325" s="513">
        <v>71577</v>
      </c>
      <c r="E325" s="514">
        <f>D325-C325</f>
        <v>-92199</v>
      </c>
    </row>
    <row r="326" spans="1:5" x14ac:dyDescent="0.2">
      <c r="A326" s="512"/>
      <c r="B326" s="516" t="s">
        <v>855</v>
      </c>
      <c r="C326" s="581">
        <f>C324+C325</f>
        <v>17527112</v>
      </c>
      <c r="D326" s="581">
        <f>D324+D325</f>
        <v>13502613</v>
      </c>
      <c r="E326" s="517">
        <f>D326-C326</f>
        <v>-4024499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856</v>
      </c>
      <c r="C328" s="513">
        <v>17527112</v>
      </c>
      <c r="D328" s="513">
        <v>13502614</v>
      </c>
      <c r="E328" s="514">
        <f>D328-C328</f>
        <v>-4024498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857</v>
      </c>
      <c r="C330" s="581">
        <f>C326-C328</f>
        <v>0</v>
      </c>
      <c r="D330" s="581">
        <f>D326-D328</f>
        <v>-1</v>
      </c>
      <c r="E330" s="517">
        <f>D330-C330</f>
        <v>-1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r:id="rId1"/>
  <headerFooter>
    <oddHeader>&amp;LOFFICE OF HEALTH CARE ACCESS&amp;CTWELVE MONTHS ACTUAL FILING&amp;RWILLIAM W. BACKUS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610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858</v>
      </c>
      <c r="B5" s="696"/>
      <c r="C5" s="697"/>
      <c r="D5" s="585"/>
    </row>
    <row r="6" spans="1:58" s="338" customFormat="1" ht="15.75" customHeight="1" x14ac:dyDescent="0.25">
      <c r="A6" s="695" t="s">
        <v>859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640</v>
      </c>
      <c r="C14" s="513">
        <v>70979090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619</v>
      </c>
      <c r="C15" s="515">
        <v>125132685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765</v>
      </c>
      <c r="C16" s="515">
        <v>38116863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36860359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732</v>
      </c>
      <c r="C18" s="515">
        <v>1256504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3124142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747</v>
      </c>
      <c r="C20" s="515">
        <v>2711434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766</v>
      </c>
      <c r="C21" s="517">
        <f>SUM(C15+C16+C19)</f>
        <v>166373690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706</v>
      </c>
      <c r="C22" s="517">
        <f>SUM(C14+C21)</f>
        <v>237352780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640</v>
      </c>
      <c r="C25" s="513">
        <v>177802934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619</v>
      </c>
      <c r="C26" s="515">
        <v>121311471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765</v>
      </c>
      <c r="C27" s="515">
        <v>71865568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70686346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732</v>
      </c>
      <c r="C29" s="515">
        <v>1179222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7191710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747</v>
      </c>
      <c r="C31" s="518">
        <v>10411627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768</v>
      </c>
      <c r="C32" s="517">
        <f>SUM(C26+C27+C30)</f>
        <v>200368749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712</v>
      </c>
      <c r="C33" s="517">
        <f>SUM(C25+C32)</f>
        <v>378171683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862</v>
      </c>
      <c r="C36" s="514">
        <f>SUM(C14+C25)</f>
        <v>248782024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863</v>
      </c>
      <c r="C37" s="518">
        <f>SUM(C21+C32)</f>
        <v>366742439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637</v>
      </c>
      <c r="C38" s="517">
        <f>SUM(+C36+C37)</f>
        <v>615524463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640</v>
      </c>
      <c r="C41" s="513">
        <v>56354783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619</v>
      </c>
      <c r="C42" s="515">
        <v>62107906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765</v>
      </c>
      <c r="C43" s="515">
        <v>10630726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10267905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732</v>
      </c>
      <c r="C45" s="515">
        <v>362821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1364747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747</v>
      </c>
      <c r="C47" s="515">
        <v>706485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778</v>
      </c>
      <c r="C48" s="517">
        <f>SUM(C42+C43+C46)</f>
        <v>74103379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707</v>
      </c>
      <c r="C49" s="517">
        <f>SUM(C41+C48)</f>
        <v>130458162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640</v>
      </c>
      <c r="C52" s="513">
        <v>99051979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619</v>
      </c>
      <c r="C53" s="515">
        <v>29749794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765</v>
      </c>
      <c r="C54" s="515">
        <v>16067197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15800535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732</v>
      </c>
      <c r="C56" s="515">
        <v>266662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1957670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747</v>
      </c>
      <c r="C58" s="515">
        <v>1974665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780</v>
      </c>
      <c r="C59" s="517">
        <f>SUM(C53+C54+C57)</f>
        <v>47774661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713</v>
      </c>
      <c r="C60" s="517">
        <f>SUM(C52+C59)</f>
        <v>146826640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864</v>
      </c>
      <c r="C63" s="514">
        <f>SUM(C41+C52)</f>
        <v>155406762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865</v>
      </c>
      <c r="C64" s="518">
        <f>SUM(C48+C59)</f>
        <v>121878040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638</v>
      </c>
      <c r="C65" s="517">
        <f>SUM(+C63+C64)</f>
        <v>277284802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640</v>
      </c>
      <c r="C70" s="530">
        <v>3836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619</v>
      </c>
      <c r="C71" s="530">
        <v>5508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765</v>
      </c>
      <c r="C72" s="530">
        <v>2347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2286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732</v>
      </c>
      <c r="C74" s="530">
        <v>61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220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747</v>
      </c>
      <c r="C76" s="545">
        <v>124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795</v>
      </c>
      <c r="C77" s="532">
        <f>SUM(C71+C72+C75)</f>
        <v>8075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709</v>
      </c>
      <c r="C78" s="596">
        <f>SUM(C70+C77)</f>
        <v>11911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800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640</v>
      </c>
      <c r="C81" s="541">
        <v>1.2529999999999999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619</v>
      </c>
      <c r="C82" s="541">
        <v>1.3653999999999999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765</v>
      </c>
      <c r="C83" s="541">
        <f>((C73*C84)+(C74*C85))/(C73+C74)</f>
        <v>1.0055730293992331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1.0051000000000001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732</v>
      </c>
      <c r="C85" s="541">
        <v>1.0233000000000001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0.94120000000000004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747</v>
      </c>
      <c r="C87" s="541">
        <v>1.1507000000000001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801</v>
      </c>
      <c r="C88" s="543">
        <f>((C71*C82)+(C73*C84)+(C74*C85)+(C75*C86))/(C71+C73+C74+C75)</f>
        <v>1.2492590835913313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710</v>
      </c>
      <c r="C89" s="543">
        <f>((C70*C81)+(C71*C82)+(C73*C84)+(C74*C85)+(C75*C86))/(C70+C71+C73+C74+C75)</f>
        <v>1.2504638653345648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802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803</v>
      </c>
      <c r="C92" s="513">
        <v>224371597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804</v>
      </c>
      <c r="C93" s="546">
        <v>150837482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736</v>
      </c>
      <c r="C95" s="513">
        <f>+C92-C93</f>
        <v>73534115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654</v>
      </c>
      <c r="C96" s="597">
        <f>(+C92-C93)/C92</f>
        <v>0.32773361683564611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751</v>
      </c>
      <c r="C98" s="513">
        <v>10979391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737</v>
      </c>
      <c r="C99" s="513">
        <v>6410112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868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806</v>
      </c>
      <c r="C103" s="513">
        <v>5341790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807</v>
      </c>
      <c r="C104" s="513">
        <v>8089246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808</v>
      </c>
      <c r="C105" s="578">
        <f>+C103+C104</f>
        <v>13431036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809</v>
      </c>
      <c r="C107" s="513">
        <v>7456692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694</v>
      </c>
      <c r="C108" s="513">
        <v>264111731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839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638</v>
      </c>
      <c r="C114" s="514">
        <f>+C65</f>
        <v>277284802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841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842</v>
      </c>
      <c r="C116" s="517">
        <f>+C114+C115</f>
        <v>277284802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843</v>
      </c>
      <c r="C118" s="578">
        <v>5934953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844</v>
      </c>
      <c r="C119" s="580">
        <f>+C116+C118</f>
        <v>283219755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845</v>
      </c>
      <c r="C121" s="513">
        <v>283219755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846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848</v>
      </c>
      <c r="C127" s="514">
        <f>+C38</f>
        <v>615524463</v>
      </c>
      <c r="D127" s="588"/>
      <c r="AR127" s="507"/>
    </row>
    <row r="128" spans="1:58" s="506" customFormat="1" x14ac:dyDescent="0.2">
      <c r="A128" s="512">
        <v>2</v>
      </c>
      <c r="B128" s="583" t="s">
        <v>849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850</v>
      </c>
      <c r="C129" s="581">
        <f>C127+C128</f>
        <v>615524463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851</v>
      </c>
      <c r="C131" s="513">
        <v>615524464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846</v>
      </c>
      <c r="C133" s="581">
        <f>C129-C131</f>
        <v>-1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852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853</v>
      </c>
      <c r="C137" s="513">
        <f>C105</f>
        <v>13431036</v>
      </c>
      <c r="D137" s="588"/>
      <c r="AR137" s="507"/>
    </row>
    <row r="138" spans="1:44" s="506" customFormat="1" x14ac:dyDescent="0.2">
      <c r="A138" s="512">
        <v>2</v>
      </c>
      <c r="B138" s="511" t="s">
        <v>869</v>
      </c>
      <c r="C138" s="513">
        <v>71577</v>
      </c>
      <c r="D138" s="588"/>
      <c r="AR138" s="507"/>
    </row>
    <row r="139" spans="1:44" s="506" customFormat="1" x14ac:dyDescent="0.2">
      <c r="A139" s="512"/>
      <c r="B139" s="516" t="s">
        <v>855</v>
      </c>
      <c r="C139" s="581">
        <f>C137+C138</f>
        <v>13502613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870</v>
      </c>
      <c r="C141" s="513">
        <v>13502614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857</v>
      </c>
      <c r="C143" s="581">
        <f>C139-C141</f>
        <v>-1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FILING&amp;RWILLIAM W. BACKUS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871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614</v>
      </c>
      <c r="D8" s="35" t="s">
        <v>614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616</v>
      </c>
      <c r="D9" s="607" t="s">
        <v>617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873</v>
      </c>
      <c r="C12" s="49">
        <v>1641</v>
      </c>
      <c r="D12" s="49">
        <v>2085</v>
      </c>
      <c r="E12" s="49">
        <f>+D12-C12</f>
        <v>444</v>
      </c>
      <c r="F12" s="70">
        <f>IF(C12=0,0,+E12/C12)</f>
        <v>0.27056672760511885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874</v>
      </c>
      <c r="C13" s="49">
        <v>1395</v>
      </c>
      <c r="D13" s="49">
        <v>1845</v>
      </c>
      <c r="E13" s="49">
        <f>+D13-C13</f>
        <v>450</v>
      </c>
      <c r="F13" s="70">
        <f>IF(C13=0,0,+E13/C13)</f>
        <v>0.32258064516129031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875</v>
      </c>
      <c r="C15" s="51">
        <v>4672730</v>
      </c>
      <c r="D15" s="51">
        <v>5341790</v>
      </c>
      <c r="E15" s="51">
        <f>+D15-C15</f>
        <v>669060</v>
      </c>
      <c r="F15" s="70">
        <f>IF(C15=0,0,+E15/C15)</f>
        <v>0.14318396312220052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876</v>
      </c>
      <c r="C16" s="27">
        <f>IF(C13=0,0,+C15/+C13)</f>
        <v>3349.6272401433694</v>
      </c>
      <c r="D16" s="27">
        <f>IF(D13=0,0,+D15/+D13)</f>
        <v>2895.2791327913278</v>
      </c>
      <c r="E16" s="27">
        <f>+D16-C16</f>
        <v>-454.34810735204155</v>
      </c>
      <c r="F16" s="28">
        <f>IF(C16=0,0,+E16/C16)</f>
        <v>-0.13564139373687287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877</v>
      </c>
      <c r="C18" s="210">
        <v>0.44441799999999998</v>
      </c>
      <c r="D18" s="210">
        <v>0.41379899999999997</v>
      </c>
      <c r="E18" s="210">
        <f>+D18-C18</f>
        <v>-3.0619000000000007E-2</v>
      </c>
      <c r="F18" s="70">
        <f>IF(C18=0,0,+E18/C18)</f>
        <v>-6.8896849362537094E-2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878</v>
      </c>
      <c r="C19" s="27">
        <f>+C15*C18</f>
        <v>2076645.3211399999</v>
      </c>
      <c r="D19" s="27">
        <f>+D15*D18</f>
        <v>2210427.3602100001</v>
      </c>
      <c r="E19" s="27">
        <f>+D19-C19</f>
        <v>133782.03907000017</v>
      </c>
      <c r="F19" s="28">
        <f>IF(C19=0,0,+E19/C19)</f>
        <v>6.4422189821302211E-2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879</v>
      </c>
      <c r="C20" s="27">
        <f>IF(C13=0,0,+C19/C13)</f>
        <v>1488.6346388100358</v>
      </c>
      <c r="D20" s="27">
        <f>IF(D13=0,0,+D19/D13)</f>
        <v>1198.0636098699188</v>
      </c>
      <c r="E20" s="27">
        <f>+D20-C20</f>
        <v>-290.571028940117</v>
      </c>
      <c r="F20" s="28">
        <f>IF(C20=0,0,+E20/C20)</f>
        <v>-0.19519297842779587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880</v>
      </c>
      <c r="C22" s="51">
        <v>1555832</v>
      </c>
      <c r="D22" s="51">
        <v>1576229</v>
      </c>
      <c r="E22" s="51">
        <f>+D22-C22</f>
        <v>20397</v>
      </c>
      <c r="F22" s="70">
        <f>IF(C22=0,0,+E22/C22)</f>
        <v>1.3110027303719168E-2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881</v>
      </c>
      <c r="C23" s="49">
        <v>1353196</v>
      </c>
      <c r="D23" s="49">
        <v>2183751</v>
      </c>
      <c r="E23" s="49">
        <f>+D23-C23</f>
        <v>830555</v>
      </c>
      <c r="F23" s="70">
        <f>IF(C23=0,0,+E23/C23)</f>
        <v>0.6137728754740629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882</v>
      </c>
      <c r="C24" s="49">
        <v>1763702</v>
      </c>
      <c r="D24" s="49">
        <v>1581810</v>
      </c>
      <c r="E24" s="49">
        <f>+D24-C24</f>
        <v>-181892</v>
      </c>
      <c r="F24" s="70">
        <f>IF(C24=0,0,+E24/C24)</f>
        <v>-0.10313080100833361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875</v>
      </c>
      <c r="C25" s="27">
        <f>+C22+C23+C24</f>
        <v>4672730</v>
      </c>
      <c r="D25" s="27">
        <f>+D22+D23+D24</f>
        <v>5341790</v>
      </c>
      <c r="E25" s="27">
        <f>+E22+E23+E24</f>
        <v>669060</v>
      </c>
      <c r="F25" s="28">
        <f>IF(C25=0,0,+E25/C25)</f>
        <v>0.14318396312220052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883</v>
      </c>
      <c r="C27" s="49">
        <v>2002</v>
      </c>
      <c r="D27" s="49">
        <v>1821</v>
      </c>
      <c r="E27" s="49">
        <f>+D27-C27</f>
        <v>-181</v>
      </c>
      <c r="F27" s="70">
        <f>IF(C27=0,0,+E27/C27)</f>
        <v>-9.0409590409590415E-2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884</v>
      </c>
      <c r="C28" s="49">
        <v>438</v>
      </c>
      <c r="D28" s="49">
        <v>426</v>
      </c>
      <c r="E28" s="49">
        <f>+D28-C28</f>
        <v>-12</v>
      </c>
      <c r="F28" s="70">
        <f>IF(C28=0,0,+E28/C28)</f>
        <v>-2.7397260273972601E-2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885</v>
      </c>
      <c r="C29" s="49">
        <v>1696</v>
      </c>
      <c r="D29" s="49">
        <v>1835</v>
      </c>
      <c r="E29" s="49">
        <f>+D29-C29</f>
        <v>139</v>
      </c>
      <c r="F29" s="70">
        <f>IF(C29=0,0,+E29/C29)</f>
        <v>8.1957547169811323E-2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886</v>
      </c>
      <c r="C30" s="49">
        <v>4316</v>
      </c>
      <c r="D30" s="49">
        <v>4499</v>
      </c>
      <c r="E30" s="49">
        <f>+D30-C30</f>
        <v>183</v>
      </c>
      <c r="F30" s="70">
        <f>IF(C30=0,0,+E30/C30)</f>
        <v>4.2400370713623722E-2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888</v>
      </c>
      <c r="C33" s="51">
        <v>2338365</v>
      </c>
      <c r="D33" s="51">
        <v>1239881</v>
      </c>
      <c r="E33" s="51">
        <f>+D33-C33</f>
        <v>-1098484</v>
      </c>
      <c r="F33" s="70">
        <f>IF(C33=0,0,+E33/C33)</f>
        <v>-0.46976584066217209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889</v>
      </c>
      <c r="C34" s="49">
        <v>3128863</v>
      </c>
      <c r="D34" s="49">
        <v>2103319</v>
      </c>
      <c r="E34" s="49">
        <f>+D34-C34</f>
        <v>-1025544</v>
      </c>
      <c r="F34" s="70">
        <f>IF(C34=0,0,+E34/C34)</f>
        <v>-0.32776890519016011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890</v>
      </c>
      <c r="C35" s="49">
        <v>7223378</v>
      </c>
      <c r="D35" s="49">
        <v>4746046</v>
      </c>
      <c r="E35" s="49">
        <f>+D35-C35</f>
        <v>-2477332</v>
      </c>
      <c r="F35" s="70">
        <f>IF(C35=0,0,+E35/C35)</f>
        <v>-0.34296031579684738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891</v>
      </c>
      <c r="C36" s="27">
        <f>+C33+C34+C35</f>
        <v>12690606</v>
      </c>
      <c r="D36" s="27">
        <f>+D33+D34+D35</f>
        <v>8089246</v>
      </c>
      <c r="E36" s="27">
        <f>+E33+E34+E35</f>
        <v>-4601360</v>
      </c>
      <c r="F36" s="28">
        <f>IF(C36=0,0,+E36/C36)</f>
        <v>-0.3625800060296569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893</v>
      </c>
      <c r="C39" s="51">
        <f>+C25</f>
        <v>4672730</v>
      </c>
      <c r="D39" s="51">
        <f>+D25</f>
        <v>5341790</v>
      </c>
      <c r="E39" s="51">
        <f>+D39-C39</f>
        <v>669060</v>
      </c>
      <c r="F39" s="70">
        <f>IF(C39=0,0,+E39/C39)</f>
        <v>0.14318396312220052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894</v>
      </c>
      <c r="C40" s="49">
        <f>+C36</f>
        <v>12690606</v>
      </c>
      <c r="D40" s="49">
        <f>+D36</f>
        <v>8089246</v>
      </c>
      <c r="E40" s="49">
        <f>+D40-C40</f>
        <v>-4601360</v>
      </c>
      <c r="F40" s="70">
        <f>IF(C40=0,0,+E40/C40)</f>
        <v>-0.3625800060296569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895</v>
      </c>
      <c r="C41" s="27">
        <f>+C39+C40</f>
        <v>17363336</v>
      </c>
      <c r="D41" s="27">
        <f>+D39+D40</f>
        <v>13431036</v>
      </c>
      <c r="E41" s="27">
        <f>+E39+E40</f>
        <v>-3932300</v>
      </c>
      <c r="F41" s="28">
        <f>IF(C41=0,0,+E41/C41)</f>
        <v>-0.22647145686750519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896</v>
      </c>
      <c r="C43" s="51">
        <f t="shared" ref="C43:D45" si="0">+C22+C33</f>
        <v>3894197</v>
      </c>
      <c r="D43" s="51">
        <f t="shared" si="0"/>
        <v>2816110</v>
      </c>
      <c r="E43" s="51">
        <f>+D43-C43</f>
        <v>-1078087</v>
      </c>
      <c r="F43" s="70">
        <f>IF(C43=0,0,+E43/C43)</f>
        <v>-0.27684449451324628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897</v>
      </c>
      <c r="C44" s="49">
        <f t="shared" si="0"/>
        <v>4482059</v>
      </c>
      <c r="D44" s="49">
        <f t="shared" si="0"/>
        <v>4287070</v>
      </c>
      <c r="E44" s="49">
        <f>+D44-C44</f>
        <v>-194989</v>
      </c>
      <c r="F44" s="70">
        <f>IF(C44=0,0,+E44/C44)</f>
        <v>-4.350433584207615E-2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898</v>
      </c>
      <c r="C45" s="49">
        <f t="shared" si="0"/>
        <v>8987080</v>
      </c>
      <c r="D45" s="49">
        <f t="shared" si="0"/>
        <v>6327856</v>
      </c>
      <c r="E45" s="49">
        <f>+D45-C45</f>
        <v>-2659224</v>
      </c>
      <c r="F45" s="70">
        <f>IF(C45=0,0,+E45/C45)</f>
        <v>-0.29589410576071429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895</v>
      </c>
      <c r="C46" s="27">
        <f>+C43+C44+C45</f>
        <v>17363336</v>
      </c>
      <c r="D46" s="27">
        <f>+D43+D44+D45</f>
        <v>13431036</v>
      </c>
      <c r="E46" s="27">
        <f>+E43+E44+E45</f>
        <v>-3932300</v>
      </c>
      <c r="F46" s="28">
        <f>IF(C46=0,0,+E46/C46)</f>
        <v>-0.22647145686750519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899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FILING&amp;RWILLIAM W. BACKUS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900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901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616</v>
      </c>
      <c r="D9" s="35" t="s">
        <v>617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902</v>
      </c>
      <c r="D10" s="35" t="s">
        <v>902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903</v>
      </c>
      <c r="D11" s="605" t="s">
        <v>903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231352289</v>
      </c>
      <c r="D15" s="51">
        <v>224371597</v>
      </c>
      <c r="E15" s="51">
        <f>+D15-C15</f>
        <v>-6980692</v>
      </c>
      <c r="F15" s="70">
        <f>+E15/C15</f>
        <v>-3.0173429578645751E-2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905</v>
      </c>
      <c r="C17" s="51">
        <v>76682182</v>
      </c>
      <c r="D17" s="51">
        <v>73534115</v>
      </c>
      <c r="E17" s="51">
        <f>+D17-C17</f>
        <v>-3148067</v>
      </c>
      <c r="F17" s="70">
        <f>+E17/C17</f>
        <v>-4.105343533390847E-2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906</v>
      </c>
      <c r="C19" s="27">
        <f>+C15-C17</f>
        <v>154670107</v>
      </c>
      <c r="D19" s="27">
        <f>+D15-D17</f>
        <v>150837482</v>
      </c>
      <c r="E19" s="27">
        <f>+D19-C19</f>
        <v>-3832625</v>
      </c>
      <c r="F19" s="28">
        <f>+E19/C19</f>
        <v>-2.4779351836874335E-2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907</v>
      </c>
      <c r="C21" s="628">
        <f>+C17/C15</f>
        <v>0.3314520134270208</v>
      </c>
      <c r="D21" s="628">
        <f>+D17/D15</f>
        <v>0.32773361683564611</v>
      </c>
      <c r="E21" s="628">
        <f>+D21-C21</f>
        <v>-3.7183965913746841E-3</v>
      </c>
      <c r="F21" s="28">
        <f>+E21/C21</f>
        <v>-1.1218506573330567E-2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908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FILING&amp;R&amp;12WILLIAM W. BACKUS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909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910</v>
      </c>
      <c r="B6" s="632" t="s">
        <v>911</v>
      </c>
      <c r="C6" s="632" t="s">
        <v>912</v>
      </c>
      <c r="D6" s="632" t="s">
        <v>913</v>
      </c>
      <c r="E6" s="632" t="s">
        <v>914</v>
      </c>
    </row>
    <row r="7" spans="1:6" ht="37.5" customHeight="1" x14ac:dyDescent="0.25">
      <c r="A7" s="633" t="s">
        <v>8</v>
      </c>
      <c r="B7" s="634" t="s">
        <v>915</v>
      </c>
      <c r="C7" s="631" t="s">
        <v>916</v>
      </c>
      <c r="D7" s="631" t="s">
        <v>917</v>
      </c>
      <c r="E7" s="631" t="s">
        <v>918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919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920</v>
      </c>
      <c r="C10" s="641">
        <v>232397678</v>
      </c>
      <c r="D10" s="641">
        <v>244179796</v>
      </c>
      <c r="E10" s="641">
        <v>237352780</v>
      </c>
    </row>
    <row r="11" spans="1:6" ht="26.1" customHeight="1" x14ac:dyDescent="0.25">
      <c r="A11" s="639">
        <v>2</v>
      </c>
      <c r="B11" s="640" t="s">
        <v>921</v>
      </c>
      <c r="C11" s="641">
        <v>352993047</v>
      </c>
      <c r="D11" s="641">
        <v>359880789</v>
      </c>
      <c r="E11" s="641">
        <v>378171683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585390725</v>
      </c>
      <c r="D12" s="641">
        <f>+D11+D10</f>
        <v>604060585</v>
      </c>
      <c r="E12" s="641">
        <f>+E11+E10</f>
        <v>615524463</v>
      </c>
    </row>
    <row r="13" spans="1:6" ht="26.1" customHeight="1" x14ac:dyDescent="0.25">
      <c r="A13" s="639">
        <v>4</v>
      </c>
      <c r="B13" s="640" t="s">
        <v>496</v>
      </c>
      <c r="C13" s="641">
        <v>270048715</v>
      </c>
      <c r="D13" s="641">
        <v>271933218</v>
      </c>
      <c r="E13" s="641">
        <v>283219755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922</v>
      </c>
      <c r="C16" s="641">
        <v>262102283</v>
      </c>
      <c r="D16" s="641">
        <v>252073735</v>
      </c>
      <c r="E16" s="641">
        <v>264111731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923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49096</v>
      </c>
      <c r="D19" s="644">
        <v>49654</v>
      </c>
      <c r="E19" s="644">
        <v>49361</v>
      </c>
    </row>
    <row r="20" spans="1:5" ht="26.1" customHeight="1" x14ac:dyDescent="0.25">
      <c r="A20" s="639">
        <v>2</v>
      </c>
      <c r="B20" s="640" t="s">
        <v>385</v>
      </c>
      <c r="C20" s="645">
        <v>12175</v>
      </c>
      <c r="D20" s="645">
        <v>11999</v>
      </c>
      <c r="E20" s="645">
        <v>11911</v>
      </c>
    </row>
    <row r="21" spans="1:5" ht="26.1" customHeight="1" x14ac:dyDescent="0.25">
      <c r="A21" s="639">
        <v>3</v>
      </c>
      <c r="B21" s="640" t="s">
        <v>924</v>
      </c>
      <c r="C21" s="646">
        <f>IF(C20=0,0,+C19/C20)</f>
        <v>4.0325256673511296</v>
      </c>
      <c r="D21" s="646">
        <f>IF(D20=0,0,+D19/D20)</f>
        <v>4.1381781815151264</v>
      </c>
      <c r="E21" s="646">
        <f>IF(E20=0,0,+E19/E20)</f>
        <v>4.1441524641088066</v>
      </c>
    </row>
    <row r="22" spans="1:5" ht="26.1" customHeight="1" x14ac:dyDescent="0.25">
      <c r="A22" s="639">
        <v>4</v>
      </c>
      <c r="B22" s="640" t="s">
        <v>925</v>
      </c>
      <c r="C22" s="645">
        <f>IF(C10=0,0,C19*(C12/C10))</f>
        <v>123668.80461946785</v>
      </c>
      <c r="D22" s="645">
        <f>IF(D10=0,0,D19*(D12/D10))</f>
        <v>122835.8151613412</v>
      </c>
      <c r="E22" s="645">
        <f>IF(E10=0,0,E19*(E12/E10))</f>
        <v>128007.3611025032</v>
      </c>
    </row>
    <row r="23" spans="1:5" ht="26.1" customHeight="1" x14ac:dyDescent="0.25">
      <c r="A23" s="639">
        <v>0</v>
      </c>
      <c r="B23" s="640" t="s">
        <v>926</v>
      </c>
      <c r="C23" s="645">
        <f>IF(C10=0,0,C20*(C12/C10))</f>
        <v>30667.82825977719</v>
      </c>
      <c r="D23" s="645">
        <f>IF(D10=0,0,D20*(D12/D10))</f>
        <v>29683.549082066562</v>
      </c>
      <c r="E23" s="645">
        <f>IF(E10=0,0,E20*(E12/E10))</f>
        <v>30888.670774334303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927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1.2416886735112935</v>
      </c>
      <c r="D26" s="647">
        <v>1.2820382531877657</v>
      </c>
      <c r="E26" s="647">
        <v>1.2504638653345648</v>
      </c>
    </row>
    <row r="27" spans="1:5" ht="26.1" customHeight="1" x14ac:dyDescent="0.25">
      <c r="A27" s="639">
        <v>2</v>
      </c>
      <c r="B27" s="640" t="s">
        <v>928</v>
      </c>
      <c r="C27" s="645">
        <f>C19*C26</f>
        <v>60961.94711471047</v>
      </c>
      <c r="D27" s="645">
        <f>D19*D26</f>
        <v>63658.327423785318</v>
      </c>
      <c r="E27" s="645">
        <f>E19*E26</f>
        <v>61724.146856779451</v>
      </c>
    </row>
    <row r="28" spans="1:5" ht="26.1" customHeight="1" x14ac:dyDescent="0.25">
      <c r="A28" s="639">
        <v>3</v>
      </c>
      <c r="B28" s="640" t="s">
        <v>929</v>
      </c>
      <c r="C28" s="645">
        <f>C20*C26</f>
        <v>15117.559599999999</v>
      </c>
      <c r="D28" s="645">
        <f>D20*D26</f>
        <v>15383.177</v>
      </c>
      <c r="E28" s="645">
        <f>E20*E26</f>
        <v>14894.275100000001</v>
      </c>
    </row>
    <row r="29" spans="1:5" ht="26.1" customHeight="1" x14ac:dyDescent="0.25">
      <c r="A29" s="639">
        <v>4</v>
      </c>
      <c r="B29" s="640" t="s">
        <v>930</v>
      </c>
      <c r="C29" s="645">
        <f>C22*C26</f>
        <v>153558.15396267435</v>
      </c>
      <c r="D29" s="645">
        <f>D22*D26</f>
        <v>157480.21389834114</v>
      </c>
      <c r="E29" s="645">
        <f>E22*E26</f>
        <v>160068.57955551357</v>
      </c>
    </row>
    <row r="30" spans="1:5" ht="26.1" customHeight="1" x14ac:dyDescent="0.25">
      <c r="A30" s="639">
        <v>5</v>
      </c>
      <c r="B30" s="640" t="s">
        <v>931</v>
      </c>
      <c r="C30" s="645">
        <f>C23*C26</f>
        <v>38079.8949913549</v>
      </c>
      <c r="D30" s="645">
        <f>D23*D26</f>
        <v>38055.44541358592</v>
      </c>
      <c r="E30" s="645">
        <f>E23*E26</f>
        <v>38625.166651520878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932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933</v>
      </c>
      <c r="C33" s="641">
        <f>IF(C19=0,0,C12/C19)</f>
        <v>11923.389379990223</v>
      </c>
      <c r="D33" s="641">
        <f>IF(D19=0,0,D12/D19)</f>
        <v>12165.396241994602</v>
      </c>
      <c r="E33" s="641">
        <f>IF(E19=0,0,E12/E19)</f>
        <v>12469.85399404388</v>
      </c>
    </row>
    <row r="34" spans="1:5" ht="26.1" customHeight="1" x14ac:dyDescent="0.25">
      <c r="A34" s="639">
        <v>2</v>
      </c>
      <c r="B34" s="640" t="s">
        <v>934</v>
      </c>
      <c r="C34" s="641">
        <f>IF(C20=0,0,C12/C20)</f>
        <v>48081.373716632443</v>
      </c>
      <c r="D34" s="641">
        <f>IF(D20=0,0,D12/D20)</f>
        <v>50342.577298108175</v>
      </c>
      <c r="E34" s="641">
        <f>IF(E20=0,0,E12/E20)</f>
        <v>51676.976156493998</v>
      </c>
    </row>
    <row r="35" spans="1:5" ht="26.1" customHeight="1" x14ac:dyDescent="0.25">
      <c r="A35" s="639">
        <v>3</v>
      </c>
      <c r="B35" s="640" t="s">
        <v>935</v>
      </c>
      <c r="C35" s="641">
        <f>IF(C22=0,0,C12/C22)</f>
        <v>4733.5358888707833</v>
      </c>
      <c r="D35" s="641">
        <f>IF(D22=0,0,D12/D22)</f>
        <v>4917.6258911668747</v>
      </c>
      <c r="E35" s="641">
        <f>IF(E22=0,0,E12/E22)</f>
        <v>4808.5083365409937</v>
      </c>
    </row>
    <row r="36" spans="1:5" ht="26.1" customHeight="1" x14ac:dyDescent="0.25">
      <c r="A36" s="639">
        <v>4</v>
      </c>
      <c r="B36" s="640" t="s">
        <v>936</v>
      </c>
      <c r="C36" s="641">
        <f>IF(C23=0,0,C12/C23)</f>
        <v>19088.104969199179</v>
      </c>
      <c r="D36" s="641">
        <f>IF(D23=0,0,D12/D23)</f>
        <v>20350.012167680638</v>
      </c>
      <c r="E36" s="641">
        <f>IF(E23=0,0,E12/E23)</f>
        <v>19927.191671564102</v>
      </c>
    </row>
    <row r="37" spans="1:5" ht="26.1" customHeight="1" x14ac:dyDescent="0.25">
      <c r="A37" s="639">
        <v>5</v>
      </c>
      <c r="B37" s="640" t="s">
        <v>937</v>
      </c>
      <c r="C37" s="641">
        <f>IF(C29=0,0,C12/C29)</f>
        <v>3812.1761032780582</v>
      </c>
      <c r="D37" s="641">
        <f>IF(D29=0,0,D12/D29)</f>
        <v>3835.787176349289</v>
      </c>
      <c r="E37" s="641">
        <f>IF(E29=0,0,E12/E29)</f>
        <v>3845.3796785678933</v>
      </c>
    </row>
    <row r="38" spans="1:5" ht="26.1" customHeight="1" x14ac:dyDescent="0.25">
      <c r="A38" s="639">
        <v>6</v>
      </c>
      <c r="B38" s="640" t="s">
        <v>938</v>
      </c>
      <c r="C38" s="641">
        <f>IF(C30=0,0,C12/C30)</f>
        <v>15372.697984931379</v>
      </c>
      <c r="D38" s="641">
        <f>IF(D30=0,0,D12/D30)</f>
        <v>15873.170802104141</v>
      </c>
      <c r="E38" s="641">
        <f>IF(E30=0,0,E12/E30)</f>
        <v>15935.839670371068</v>
      </c>
    </row>
    <row r="39" spans="1:5" ht="26.1" customHeight="1" x14ac:dyDescent="0.25">
      <c r="A39" s="639">
        <v>7</v>
      </c>
      <c r="B39" s="640" t="s">
        <v>939</v>
      </c>
      <c r="C39" s="641">
        <f>IF(C22=0,0,C10/C22)</f>
        <v>1879.1940191796448</v>
      </c>
      <c r="D39" s="641">
        <f>IF(D22=0,0,D10/D22)</f>
        <v>1987.8550541572674</v>
      </c>
      <c r="E39" s="641">
        <f>IF(E22=0,0,E10/E22)</f>
        <v>1854.2119605913706</v>
      </c>
    </row>
    <row r="40" spans="1:5" ht="26.1" customHeight="1" x14ac:dyDescent="0.25">
      <c r="A40" s="639">
        <v>8</v>
      </c>
      <c r="B40" s="640" t="s">
        <v>940</v>
      </c>
      <c r="C40" s="641">
        <f>IF(C23=0,0,C10/C23)</f>
        <v>7577.8981162746486</v>
      </c>
      <c r="D40" s="641">
        <f>IF(D23=0,0,D10/D23)</f>
        <v>8226.098413128173</v>
      </c>
      <c r="E40" s="641">
        <f>IF(E23=0,0,E10/E23)</f>
        <v>7684.1370654647508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941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942</v>
      </c>
      <c r="C43" s="641">
        <f>IF(C19=0,0,C13/C19)</f>
        <v>5500.4219284666779</v>
      </c>
      <c r="D43" s="641">
        <f>IF(D19=0,0,D13/D19)</f>
        <v>5476.5621702179078</v>
      </c>
      <c r="E43" s="641">
        <f>IF(E19=0,0,E13/E19)</f>
        <v>5737.723202528312</v>
      </c>
    </row>
    <row r="44" spans="1:5" ht="26.1" customHeight="1" x14ac:dyDescent="0.25">
      <c r="A44" s="639">
        <v>2</v>
      </c>
      <c r="B44" s="640" t="s">
        <v>943</v>
      </c>
      <c r="C44" s="641">
        <f>IF(C20=0,0,C13/C20)</f>
        <v>22180.592607802875</v>
      </c>
      <c r="D44" s="641">
        <f>IF(D20=0,0,D13/D20)</f>
        <v>22662.990082506876</v>
      </c>
      <c r="E44" s="641">
        <f>IF(E20=0,0,E13/E20)</f>
        <v>23777.999748131981</v>
      </c>
    </row>
    <row r="45" spans="1:5" ht="26.1" customHeight="1" x14ac:dyDescent="0.25">
      <c r="A45" s="639">
        <v>3</v>
      </c>
      <c r="B45" s="640" t="s">
        <v>944</v>
      </c>
      <c r="C45" s="641">
        <f>IF(C22=0,0,C13/C22)</f>
        <v>2183.6445806276447</v>
      </c>
      <c r="D45" s="641">
        <f>IF(D22=0,0,D13/D22)</f>
        <v>2213.7942231491993</v>
      </c>
      <c r="E45" s="641">
        <f>IF(E22=0,0,E13/E22)</f>
        <v>2212.5270965722734</v>
      </c>
    </row>
    <row r="46" spans="1:5" ht="26.1" customHeight="1" x14ac:dyDescent="0.25">
      <c r="A46" s="639">
        <v>4</v>
      </c>
      <c r="B46" s="640" t="s">
        <v>945</v>
      </c>
      <c r="C46" s="641">
        <f>IF(C23=0,0,C13/C23)</f>
        <v>8805.6028197531705</v>
      </c>
      <c r="D46" s="641">
        <f>IF(D23=0,0,D13/D23)</f>
        <v>9161.0749526002455</v>
      </c>
      <c r="E46" s="641">
        <f>IF(E23=0,0,E13/E23)</f>
        <v>9169.049619167492</v>
      </c>
    </row>
    <row r="47" spans="1:5" ht="26.1" customHeight="1" x14ac:dyDescent="0.25">
      <c r="A47" s="639">
        <v>5</v>
      </c>
      <c r="B47" s="640" t="s">
        <v>946</v>
      </c>
      <c r="C47" s="641">
        <f>IF(C29=0,0,C13/C29)</f>
        <v>1758.6087617700928</v>
      </c>
      <c r="D47" s="641">
        <f>IF(D29=0,0,D13/D29)</f>
        <v>1726.7770424514547</v>
      </c>
      <c r="E47" s="641">
        <f>IF(E29=0,0,E13/E29)</f>
        <v>1769.3650795581416</v>
      </c>
    </row>
    <row r="48" spans="1:5" ht="26.1" customHeight="1" x14ac:dyDescent="0.25">
      <c r="A48" s="639">
        <v>6</v>
      </c>
      <c r="B48" s="640" t="s">
        <v>947</v>
      </c>
      <c r="C48" s="641">
        <f>IF(C30=0,0,C13/C30)</f>
        <v>7091.6349706664869</v>
      </c>
      <c r="D48" s="641">
        <f>IF(D30=0,0,D13/D30)</f>
        <v>7145.7110814138296</v>
      </c>
      <c r="E48" s="641">
        <f>IF(E30=0,0,E13/E30)</f>
        <v>7332.5186543589489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948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949</v>
      </c>
      <c r="C51" s="641">
        <f>IF(C19=0,0,C16/C19)</f>
        <v>5338.5669504643965</v>
      </c>
      <c r="D51" s="641">
        <f>IF(D19=0,0,D16/D19)</f>
        <v>5076.6048052523465</v>
      </c>
      <c r="E51" s="641">
        <f>IF(E19=0,0,E16/E19)</f>
        <v>5350.6154859099288</v>
      </c>
    </row>
    <row r="52" spans="1:6" ht="26.1" customHeight="1" x14ac:dyDescent="0.25">
      <c r="A52" s="639">
        <v>2</v>
      </c>
      <c r="B52" s="640" t="s">
        <v>950</v>
      </c>
      <c r="C52" s="641">
        <f>IF(C20=0,0,C16/C20)</f>
        <v>21527.908254620124</v>
      </c>
      <c r="D52" s="641">
        <f>IF(D20=0,0,D16/D20)</f>
        <v>21007.895241270107</v>
      </c>
      <c r="E52" s="641">
        <f>IF(E20=0,0,E16/E20)</f>
        <v>22173.766350432372</v>
      </c>
    </row>
    <row r="53" spans="1:6" ht="26.1" customHeight="1" x14ac:dyDescent="0.25">
      <c r="A53" s="639">
        <v>3</v>
      </c>
      <c r="B53" s="640" t="s">
        <v>951</v>
      </c>
      <c r="C53" s="641">
        <f>IF(C22=0,0,C16/C22)</f>
        <v>2119.3888289491888</v>
      </c>
      <c r="D53" s="641">
        <f>IF(D22=0,0,D16/D22)</f>
        <v>2052.1192021146976</v>
      </c>
      <c r="E53" s="641">
        <f>IF(E22=0,0,E16/E22)</f>
        <v>2063.2542435470555</v>
      </c>
    </row>
    <row r="54" spans="1:6" ht="26.1" customHeight="1" x14ac:dyDescent="0.25">
      <c r="A54" s="639">
        <v>4</v>
      </c>
      <c r="B54" s="640" t="s">
        <v>952</v>
      </c>
      <c r="C54" s="641">
        <f>IF(C23=0,0,C16/C23)</f>
        <v>8546.4898518348564</v>
      </c>
      <c r="D54" s="641">
        <f>IF(D23=0,0,D16/D23)</f>
        <v>8492.0349080592714</v>
      </c>
      <c r="E54" s="641">
        <f>IF(E23=0,0,E16/E23)</f>
        <v>8550.4401574784824</v>
      </c>
    </row>
    <row r="55" spans="1:6" ht="26.1" customHeight="1" x14ac:dyDescent="0.25">
      <c r="A55" s="639">
        <v>5</v>
      </c>
      <c r="B55" s="640" t="s">
        <v>953</v>
      </c>
      <c r="C55" s="641">
        <f>IF(C29=0,0,C16/C29)</f>
        <v>1706.8600802775322</v>
      </c>
      <c r="D55" s="641">
        <f>IF(D29=0,0,D16/D29)</f>
        <v>1600.6692444723387</v>
      </c>
      <c r="E55" s="641">
        <f>IF(E29=0,0,E16/E29)</f>
        <v>1649.9910959002614</v>
      </c>
    </row>
    <row r="56" spans="1:6" ht="26.1" customHeight="1" x14ac:dyDescent="0.25">
      <c r="A56" s="639">
        <v>6</v>
      </c>
      <c r="B56" s="640" t="s">
        <v>954</v>
      </c>
      <c r="C56" s="641">
        <f>IF(C30=0,0,C16/C30)</f>
        <v>6882.9570842961584</v>
      </c>
      <c r="D56" s="641">
        <f>IF(D30=0,0,D16/D30)</f>
        <v>6623.8545432977335</v>
      </c>
      <c r="E56" s="641">
        <f>IF(E30=0,0,E16/E30)</f>
        <v>6837.8146658326586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955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956</v>
      </c>
      <c r="C59" s="649">
        <v>40612798</v>
      </c>
      <c r="D59" s="649">
        <v>39914015</v>
      </c>
      <c r="E59" s="649">
        <v>41141324</v>
      </c>
    </row>
    <row r="60" spans="1:6" ht="26.1" customHeight="1" x14ac:dyDescent="0.25">
      <c r="A60" s="639">
        <v>2</v>
      </c>
      <c r="B60" s="640" t="s">
        <v>957</v>
      </c>
      <c r="C60" s="649">
        <v>7936981</v>
      </c>
      <c r="D60" s="649">
        <v>7696604</v>
      </c>
      <c r="E60" s="649">
        <v>9543566</v>
      </c>
    </row>
    <row r="61" spans="1:6" ht="26.1" customHeight="1" x14ac:dyDescent="0.25">
      <c r="A61" s="650">
        <v>3</v>
      </c>
      <c r="B61" s="651" t="s">
        <v>958</v>
      </c>
      <c r="C61" s="652">
        <f>C59+C60</f>
        <v>48549779</v>
      </c>
      <c r="D61" s="652">
        <f>D59+D60</f>
        <v>47610619</v>
      </c>
      <c r="E61" s="652">
        <f>E59+E60</f>
        <v>50684890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959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960</v>
      </c>
      <c r="C64" s="641">
        <v>11850977</v>
      </c>
      <c r="D64" s="641">
        <v>11095920</v>
      </c>
      <c r="E64" s="649">
        <v>10294416</v>
      </c>
      <c r="F64" s="653"/>
    </row>
    <row r="65" spans="1:6" ht="26.1" customHeight="1" x14ac:dyDescent="0.25">
      <c r="A65" s="639">
        <v>2</v>
      </c>
      <c r="B65" s="640" t="s">
        <v>961</v>
      </c>
      <c r="C65" s="649">
        <v>1934151</v>
      </c>
      <c r="D65" s="649">
        <v>1266332</v>
      </c>
      <c r="E65" s="649">
        <v>1260567</v>
      </c>
      <c r="F65" s="653"/>
    </row>
    <row r="66" spans="1:6" ht="26.1" customHeight="1" x14ac:dyDescent="0.25">
      <c r="A66" s="650">
        <v>3</v>
      </c>
      <c r="B66" s="651" t="s">
        <v>962</v>
      </c>
      <c r="C66" s="654">
        <f>C64+C65</f>
        <v>13785128</v>
      </c>
      <c r="D66" s="654">
        <f>D64+D65</f>
        <v>12362252</v>
      </c>
      <c r="E66" s="654">
        <f>E64+E65</f>
        <v>11554983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963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964</v>
      </c>
      <c r="C69" s="649">
        <v>54917330</v>
      </c>
      <c r="D69" s="649">
        <v>57392944</v>
      </c>
      <c r="E69" s="649">
        <v>60931073</v>
      </c>
    </row>
    <row r="70" spans="1:6" ht="26.1" customHeight="1" x14ac:dyDescent="0.25">
      <c r="A70" s="639">
        <v>2</v>
      </c>
      <c r="B70" s="640" t="s">
        <v>965</v>
      </c>
      <c r="C70" s="649">
        <v>17310311</v>
      </c>
      <c r="D70" s="649">
        <v>16692410</v>
      </c>
      <c r="E70" s="649">
        <v>21204157</v>
      </c>
    </row>
    <row r="71" spans="1:6" ht="26.1" customHeight="1" x14ac:dyDescent="0.25">
      <c r="A71" s="650">
        <v>3</v>
      </c>
      <c r="B71" s="651" t="s">
        <v>966</v>
      </c>
      <c r="C71" s="652">
        <f>C69+C70</f>
        <v>72227641</v>
      </c>
      <c r="D71" s="652">
        <f>D69+D70</f>
        <v>74085354</v>
      </c>
      <c r="E71" s="652">
        <f>E69+E70</f>
        <v>82135230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967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968</v>
      </c>
      <c r="C75" s="641">
        <f t="shared" ref="C75:E76" si="0">+C59+C64+C69</f>
        <v>107381105</v>
      </c>
      <c r="D75" s="641">
        <f t="shared" si="0"/>
        <v>108402879</v>
      </c>
      <c r="E75" s="641">
        <f t="shared" si="0"/>
        <v>112366813</v>
      </c>
    </row>
    <row r="76" spans="1:6" ht="26.1" customHeight="1" x14ac:dyDescent="0.25">
      <c r="A76" s="639">
        <v>2</v>
      </c>
      <c r="B76" s="640" t="s">
        <v>969</v>
      </c>
      <c r="C76" s="641">
        <f t="shared" si="0"/>
        <v>27181443</v>
      </c>
      <c r="D76" s="641">
        <f t="shared" si="0"/>
        <v>25655346</v>
      </c>
      <c r="E76" s="641">
        <f t="shared" si="0"/>
        <v>32008290</v>
      </c>
    </row>
    <row r="77" spans="1:6" ht="26.1" customHeight="1" x14ac:dyDescent="0.25">
      <c r="A77" s="650">
        <v>3</v>
      </c>
      <c r="B77" s="651" t="s">
        <v>967</v>
      </c>
      <c r="C77" s="654">
        <f>C75+C76</f>
        <v>134562548</v>
      </c>
      <c r="D77" s="654">
        <f>D75+D76</f>
        <v>134058225</v>
      </c>
      <c r="E77" s="654">
        <f>E75+E76</f>
        <v>144375103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970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450.8</v>
      </c>
      <c r="D80" s="646">
        <v>455.6</v>
      </c>
      <c r="E80" s="646">
        <v>460</v>
      </c>
    </row>
    <row r="81" spans="1:5" ht="26.1" customHeight="1" x14ac:dyDescent="0.25">
      <c r="A81" s="639">
        <v>2</v>
      </c>
      <c r="B81" s="640" t="s">
        <v>597</v>
      </c>
      <c r="C81" s="646">
        <v>36.700000000000003</v>
      </c>
      <c r="D81" s="646">
        <v>36.299999999999997</v>
      </c>
      <c r="E81" s="646">
        <v>37</v>
      </c>
    </row>
    <row r="82" spans="1:5" ht="26.1" customHeight="1" x14ac:dyDescent="0.25">
      <c r="A82" s="639">
        <v>3</v>
      </c>
      <c r="B82" s="640" t="s">
        <v>971</v>
      </c>
      <c r="C82" s="646">
        <v>1054.5999999999999</v>
      </c>
      <c r="D82" s="646">
        <v>1022</v>
      </c>
      <c r="E82" s="646">
        <v>1045.8</v>
      </c>
    </row>
    <row r="83" spans="1:5" ht="26.1" customHeight="1" x14ac:dyDescent="0.25">
      <c r="A83" s="650">
        <v>4</v>
      </c>
      <c r="B83" s="651" t="s">
        <v>970</v>
      </c>
      <c r="C83" s="656">
        <f>C80+C81+C82</f>
        <v>1542.1</v>
      </c>
      <c r="D83" s="656">
        <f>D80+D81+D82</f>
        <v>1513.9</v>
      </c>
      <c r="E83" s="656">
        <f>E80+E81+E82</f>
        <v>1542.8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972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973</v>
      </c>
      <c r="C86" s="649">
        <f>IF(C80=0,0,C59/C80)</f>
        <v>90090.501330967163</v>
      </c>
      <c r="D86" s="649">
        <f>IF(D80=0,0,D59/D80)</f>
        <v>87607.583406496924</v>
      </c>
      <c r="E86" s="649">
        <f>IF(E80=0,0,E59/E80)</f>
        <v>89437.66086956521</v>
      </c>
    </row>
    <row r="87" spans="1:5" ht="26.1" customHeight="1" x14ac:dyDescent="0.25">
      <c r="A87" s="639">
        <v>2</v>
      </c>
      <c r="B87" s="640" t="s">
        <v>974</v>
      </c>
      <c r="C87" s="649">
        <f>IF(C80=0,0,C60/C80)</f>
        <v>17606.435226264417</v>
      </c>
      <c r="D87" s="649">
        <f>IF(D80=0,0,D60/D80)</f>
        <v>16893.336259877084</v>
      </c>
      <c r="E87" s="649">
        <f>IF(E80=0,0,E60/E80)</f>
        <v>20746.882608695651</v>
      </c>
    </row>
    <row r="88" spans="1:5" ht="26.1" customHeight="1" x14ac:dyDescent="0.25">
      <c r="A88" s="650">
        <v>3</v>
      </c>
      <c r="B88" s="651" t="s">
        <v>975</v>
      </c>
      <c r="C88" s="652">
        <f>+C86+C87</f>
        <v>107696.93655723159</v>
      </c>
      <c r="D88" s="652">
        <f>+D86+D87</f>
        <v>104500.91966637401</v>
      </c>
      <c r="E88" s="652">
        <f>+E86+E87</f>
        <v>110184.54347826086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976</v>
      </c>
    </row>
    <row r="91" spans="1:5" ht="26.1" customHeight="1" x14ac:dyDescent="0.25">
      <c r="A91" s="639">
        <v>1</v>
      </c>
      <c r="B91" s="640" t="s">
        <v>977</v>
      </c>
      <c r="C91" s="641">
        <f>IF(C81=0,0,C64/C81)</f>
        <v>322914.90463215258</v>
      </c>
      <c r="D91" s="641">
        <f>IF(D81=0,0,D64/D81)</f>
        <v>305672.72727272729</v>
      </c>
      <c r="E91" s="641">
        <f>IF(E81=0,0,E64/E81)</f>
        <v>278227.45945945947</v>
      </c>
    </row>
    <row r="92" spans="1:5" ht="26.1" customHeight="1" x14ac:dyDescent="0.25">
      <c r="A92" s="639">
        <v>2</v>
      </c>
      <c r="B92" s="640" t="s">
        <v>978</v>
      </c>
      <c r="C92" s="641">
        <f>IF(C81=0,0,C65/C81)</f>
        <v>52701.662125340597</v>
      </c>
      <c r="D92" s="641">
        <f>IF(D81=0,0,D65/D81)</f>
        <v>34885.179063360883</v>
      </c>
      <c r="E92" s="641">
        <f>IF(E81=0,0,E65/E81)</f>
        <v>34069.37837837838</v>
      </c>
    </row>
    <row r="93" spans="1:5" ht="26.1" customHeight="1" x14ac:dyDescent="0.25">
      <c r="A93" s="650">
        <v>3</v>
      </c>
      <c r="B93" s="651" t="s">
        <v>979</v>
      </c>
      <c r="C93" s="654">
        <f>+C91+C92</f>
        <v>375616.56675749319</v>
      </c>
      <c r="D93" s="654">
        <f>+D91+D92</f>
        <v>340557.9063360882</v>
      </c>
      <c r="E93" s="654">
        <f>+E91+E92</f>
        <v>312296.83783783787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980</v>
      </c>
      <c r="B95" s="642" t="s">
        <v>981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982</v>
      </c>
      <c r="C96" s="649">
        <f>IF(C82=0,0,C69/C82)</f>
        <v>52074.084961122702</v>
      </c>
      <c r="D96" s="649">
        <f>IF(D82=0,0,D69/D82)</f>
        <v>56157.479452054795</v>
      </c>
      <c r="E96" s="649">
        <f>IF(E82=0,0,E69/E82)</f>
        <v>58262.643908969214</v>
      </c>
    </row>
    <row r="97" spans="1:5" ht="26.1" customHeight="1" x14ac:dyDescent="0.25">
      <c r="A97" s="639">
        <v>2</v>
      </c>
      <c r="B97" s="640" t="s">
        <v>983</v>
      </c>
      <c r="C97" s="649">
        <f>IF(C82=0,0,C70/C82)</f>
        <v>16414.101080978573</v>
      </c>
      <c r="D97" s="649">
        <f>IF(D82=0,0,D70/D82)</f>
        <v>16333.082191780823</v>
      </c>
      <c r="E97" s="649">
        <f>IF(E82=0,0,E70/E82)</f>
        <v>20275.537387645822</v>
      </c>
    </row>
    <row r="98" spans="1:5" ht="26.1" customHeight="1" x14ac:dyDescent="0.25">
      <c r="A98" s="650">
        <v>3</v>
      </c>
      <c r="B98" s="651" t="s">
        <v>984</v>
      </c>
      <c r="C98" s="654">
        <f>+C96+C97</f>
        <v>68488.186042101268</v>
      </c>
      <c r="D98" s="654">
        <f>+D96+D97</f>
        <v>72490.561643835623</v>
      </c>
      <c r="E98" s="654">
        <f>+E96+E97</f>
        <v>78538.181296615032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985</v>
      </c>
      <c r="B100" s="642" t="s">
        <v>986</v>
      </c>
    </row>
    <row r="101" spans="1:5" ht="26.1" customHeight="1" x14ac:dyDescent="0.25">
      <c r="A101" s="639">
        <v>1</v>
      </c>
      <c r="B101" s="640" t="s">
        <v>987</v>
      </c>
      <c r="C101" s="641">
        <f>IF(C83=0,0,C75/C83)</f>
        <v>69633.036119577198</v>
      </c>
      <c r="D101" s="641">
        <f>IF(D83=0,0,D75/D83)</f>
        <v>71605.045907919935</v>
      </c>
      <c r="E101" s="641">
        <f>IF(E83=0,0,E75/E83)</f>
        <v>72833.039279232573</v>
      </c>
    </row>
    <row r="102" spans="1:5" ht="26.1" customHeight="1" x14ac:dyDescent="0.25">
      <c r="A102" s="639">
        <v>2</v>
      </c>
      <c r="B102" s="640" t="s">
        <v>988</v>
      </c>
      <c r="C102" s="658">
        <f>IF(C83=0,0,C76/C83)</f>
        <v>17626.251864340837</v>
      </c>
      <c r="D102" s="658">
        <f>IF(D83=0,0,D76/D83)</f>
        <v>16946.526190633464</v>
      </c>
      <c r="E102" s="658">
        <f>IF(E83=0,0,E76/E83)</f>
        <v>20746.882291936738</v>
      </c>
    </row>
    <row r="103" spans="1:5" ht="26.1" customHeight="1" x14ac:dyDescent="0.25">
      <c r="A103" s="650">
        <v>3</v>
      </c>
      <c r="B103" s="651" t="s">
        <v>986</v>
      </c>
      <c r="C103" s="654">
        <f>+C101+C102</f>
        <v>87259.287983918039</v>
      </c>
      <c r="D103" s="654">
        <f>+D101+D102</f>
        <v>88551.572098553399</v>
      </c>
      <c r="E103" s="654">
        <f>+E101+E102</f>
        <v>93579.92157116931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989</v>
      </c>
      <c r="B107" s="634" t="s">
        <v>990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991</v>
      </c>
      <c r="C108" s="641">
        <f>IF(C19=0,0,C77/C19)</f>
        <v>2740.8047091412741</v>
      </c>
      <c r="D108" s="641">
        <f>IF(D19=0,0,D77/D19)</f>
        <v>2699.8474443146574</v>
      </c>
      <c r="E108" s="641">
        <f>IF(E19=0,0,E77/E19)</f>
        <v>2924.8820526326454</v>
      </c>
    </row>
    <row r="109" spans="1:5" ht="26.1" customHeight="1" x14ac:dyDescent="0.25">
      <c r="A109" s="639">
        <v>2</v>
      </c>
      <c r="B109" s="640" t="s">
        <v>992</v>
      </c>
      <c r="C109" s="641">
        <f>IF(C20=0,0,C77/C20)</f>
        <v>11052.365338809035</v>
      </c>
      <c r="D109" s="641">
        <f>IF(D20=0,0,D77/D20)</f>
        <v>11172.44978748229</v>
      </c>
      <c r="E109" s="641">
        <f>IF(E20=0,0,E77/E20)</f>
        <v>12121.157165645202</v>
      </c>
    </row>
    <row r="110" spans="1:5" ht="26.1" customHeight="1" x14ac:dyDescent="0.25">
      <c r="A110" s="639">
        <v>3</v>
      </c>
      <c r="B110" s="640" t="s">
        <v>993</v>
      </c>
      <c r="C110" s="641">
        <f>IF(C22=0,0,C77/C22)</f>
        <v>1088.0880462462017</v>
      </c>
      <c r="D110" s="641">
        <f>IF(D22=0,0,D77/D22)</f>
        <v>1091.3610564143569</v>
      </c>
      <c r="E110" s="641">
        <f>IF(E22=0,0,E77/E22)</f>
        <v>1127.8656301991114</v>
      </c>
    </row>
    <row r="111" spans="1:5" ht="26.1" customHeight="1" x14ac:dyDescent="0.25">
      <c r="A111" s="639">
        <v>4</v>
      </c>
      <c r="B111" s="640" t="s">
        <v>994</v>
      </c>
      <c r="C111" s="641">
        <f>IF(C23=0,0,C77/C23)</f>
        <v>4387.7429748257509</v>
      </c>
      <c r="D111" s="641">
        <f>IF(D23=0,0,D77/D23)</f>
        <v>4516.2465118091905</v>
      </c>
      <c r="E111" s="641">
        <f>IF(E23=0,0,E77/E23)</f>
        <v>4674.0471305732808</v>
      </c>
    </row>
    <row r="112" spans="1:5" ht="26.1" customHeight="1" x14ac:dyDescent="0.25">
      <c r="A112" s="639">
        <v>5</v>
      </c>
      <c r="B112" s="640" t="s">
        <v>995</v>
      </c>
      <c r="C112" s="641">
        <f>IF(C29=0,0,C77/C29)</f>
        <v>876.29698930027746</v>
      </c>
      <c r="D112" s="641">
        <f>IF(D29=0,0,D77/D29)</f>
        <v>851.27027504889702</v>
      </c>
      <c r="E112" s="641">
        <f>IF(E29=0,0,E77/E29)</f>
        <v>901.95779459596633</v>
      </c>
    </row>
    <row r="113" spans="1:7" ht="25.5" customHeight="1" x14ac:dyDescent="0.25">
      <c r="A113" s="639">
        <v>6</v>
      </c>
      <c r="B113" s="640" t="s">
        <v>996</v>
      </c>
      <c r="C113" s="641">
        <f>IF(C30=0,0,C77/C30)</f>
        <v>3533.6901015758867</v>
      </c>
      <c r="D113" s="641">
        <f>IF(D30=0,0,D77/D30)</f>
        <v>3522.7080787797263</v>
      </c>
      <c r="E113" s="641">
        <f>IF(E30=0,0,E77/E30)</f>
        <v>3737.8506169970192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FILING&amp;R&amp;12WILLIAM W. BACKUS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"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604060585</v>
      </c>
      <c r="D12" s="51">
        <v>615524464</v>
      </c>
      <c r="E12" s="51">
        <f t="shared" ref="E12:E19" si="0">D12-C12</f>
        <v>11463879</v>
      </c>
      <c r="F12" s="70">
        <f t="shared" ref="F12:F19" si="1">IF(C12=0,0,E12/C12)</f>
        <v>1.8978028503548201E-2</v>
      </c>
    </row>
    <row r="13" spans="1:8" ht="23.1" customHeight="1" x14ac:dyDescent="0.2">
      <c r="A13" s="25">
        <v>2</v>
      </c>
      <c r="B13" s="48" t="s">
        <v>72</v>
      </c>
      <c r="C13" s="51">
        <v>327123232</v>
      </c>
      <c r="D13" s="51">
        <v>326751789</v>
      </c>
      <c r="E13" s="51">
        <f t="shared" si="0"/>
        <v>-371443</v>
      </c>
      <c r="F13" s="70">
        <f t="shared" si="1"/>
        <v>-1.1354834009465889E-3</v>
      </c>
    </row>
    <row r="14" spans="1:8" ht="23.1" customHeight="1" x14ac:dyDescent="0.2">
      <c r="A14" s="25">
        <v>3</v>
      </c>
      <c r="B14" s="48" t="s">
        <v>73</v>
      </c>
      <c r="C14" s="51">
        <v>5004135</v>
      </c>
      <c r="D14" s="51">
        <v>5552920</v>
      </c>
      <c r="E14" s="51">
        <f t="shared" si="0"/>
        <v>548785</v>
      </c>
      <c r="F14" s="70">
        <f t="shared" si="1"/>
        <v>0.10966630596496697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271933218</v>
      </c>
      <c r="D16" s="27">
        <f>D12-D13-D14-D15</f>
        <v>283219755</v>
      </c>
      <c r="E16" s="27">
        <f t="shared" si="0"/>
        <v>11286537</v>
      </c>
      <c r="F16" s="28">
        <f t="shared" si="1"/>
        <v>4.1504811670341799E-2</v>
      </c>
    </row>
    <row r="17" spans="1:7" ht="23.1" customHeight="1" x14ac:dyDescent="0.2">
      <c r="A17" s="25">
        <v>5</v>
      </c>
      <c r="B17" s="48" t="s">
        <v>76</v>
      </c>
      <c r="C17" s="51">
        <v>4436092</v>
      </c>
      <c r="D17" s="51">
        <v>7282140</v>
      </c>
      <c r="E17" s="51">
        <f t="shared" si="0"/>
        <v>2846048</v>
      </c>
      <c r="F17" s="70">
        <f t="shared" si="1"/>
        <v>0.64156649591577453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673194</v>
      </c>
      <c r="D18" s="51">
        <v>174552</v>
      </c>
      <c r="E18" s="51">
        <f t="shared" si="0"/>
        <v>-498642</v>
      </c>
      <c r="F18" s="70">
        <f t="shared" si="1"/>
        <v>-0.74071070152140395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277042504</v>
      </c>
      <c r="D19" s="27">
        <f>SUM(D16:D18)</f>
        <v>290676447</v>
      </c>
      <c r="E19" s="27">
        <f t="shared" si="0"/>
        <v>13633943</v>
      </c>
      <c r="F19" s="28">
        <f t="shared" si="1"/>
        <v>4.921245947156181E-2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108402879</v>
      </c>
      <c r="D22" s="51">
        <v>112366813</v>
      </c>
      <c r="E22" s="51">
        <f t="shared" ref="E22:E31" si="2">D22-C22</f>
        <v>3963934</v>
      </c>
      <c r="F22" s="70">
        <f t="shared" ref="F22:F31" si="3">IF(C22=0,0,E22/C22)</f>
        <v>3.6566685650479817E-2</v>
      </c>
    </row>
    <row r="23" spans="1:7" ht="23.1" customHeight="1" x14ac:dyDescent="0.2">
      <c r="A23" s="25">
        <v>2</v>
      </c>
      <c r="B23" s="48" t="s">
        <v>81</v>
      </c>
      <c r="C23" s="51">
        <v>25655346</v>
      </c>
      <c r="D23" s="51">
        <v>32008290</v>
      </c>
      <c r="E23" s="51">
        <f t="shared" si="2"/>
        <v>6352944</v>
      </c>
      <c r="F23" s="70">
        <f t="shared" si="3"/>
        <v>0.247626518075414</v>
      </c>
    </row>
    <row r="24" spans="1:7" ht="23.1" customHeight="1" x14ac:dyDescent="0.2">
      <c r="A24" s="25">
        <v>3</v>
      </c>
      <c r="B24" s="48" t="s">
        <v>82</v>
      </c>
      <c r="C24" s="51">
        <v>1766978</v>
      </c>
      <c r="D24" s="51">
        <v>1773524</v>
      </c>
      <c r="E24" s="51">
        <f t="shared" si="2"/>
        <v>6546</v>
      </c>
      <c r="F24" s="70">
        <f t="shared" si="3"/>
        <v>3.7046301651746656E-3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41588424</v>
      </c>
      <c r="D25" s="51">
        <v>36906258</v>
      </c>
      <c r="E25" s="51">
        <f t="shared" si="2"/>
        <v>-4682166</v>
      </c>
      <c r="F25" s="70">
        <f t="shared" si="3"/>
        <v>-0.11258339580263969</v>
      </c>
    </row>
    <row r="26" spans="1:7" ht="23.1" customHeight="1" x14ac:dyDescent="0.2">
      <c r="A26" s="25">
        <v>5</v>
      </c>
      <c r="B26" s="48" t="s">
        <v>84</v>
      </c>
      <c r="C26" s="51">
        <v>16971187</v>
      </c>
      <c r="D26" s="51">
        <v>18006195</v>
      </c>
      <c r="E26" s="51">
        <f t="shared" si="2"/>
        <v>1035008</v>
      </c>
      <c r="F26" s="70">
        <f t="shared" si="3"/>
        <v>6.0986187943129731E-2</v>
      </c>
    </row>
    <row r="27" spans="1:7" ht="23.1" customHeight="1" x14ac:dyDescent="0.2">
      <c r="A27" s="25">
        <v>6</v>
      </c>
      <c r="B27" s="48" t="s">
        <v>85</v>
      </c>
      <c r="C27" s="51">
        <v>12522978</v>
      </c>
      <c r="D27" s="51">
        <v>7949694</v>
      </c>
      <c r="E27" s="51">
        <f t="shared" si="2"/>
        <v>-4573284</v>
      </c>
      <c r="F27" s="70">
        <f t="shared" si="3"/>
        <v>-0.36519141054148624</v>
      </c>
    </row>
    <row r="28" spans="1:7" ht="23.1" customHeight="1" x14ac:dyDescent="0.2">
      <c r="A28" s="25">
        <v>7</v>
      </c>
      <c r="B28" s="48" t="s">
        <v>86</v>
      </c>
      <c r="C28" s="51">
        <v>3247715</v>
      </c>
      <c r="D28" s="51">
        <v>3276169</v>
      </c>
      <c r="E28" s="51">
        <f t="shared" si="2"/>
        <v>28454</v>
      </c>
      <c r="F28" s="70">
        <f t="shared" si="3"/>
        <v>8.7612367464509656E-3</v>
      </c>
    </row>
    <row r="29" spans="1:7" ht="23.1" customHeight="1" x14ac:dyDescent="0.2">
      <c r="A29" s="25">
        <v>8</v>
      </c>
      <c r="B29" s="48" t="s">
        <v>87</v>
      </c>
      <c r="C29" s="51">
        <v>1344246</v>
      </c>
      <c r="D29" s="51">
        <v>1295901</v>
      </c>
      <c r="E29" s="51">
        <f t="shared" si="2"/>
        <v>-48345</v>
      </c>
      <c r="F29" s="70">
        <f t="shared" si="3"/>
        <v>-3.5964399373328987E-2</v>
      </c>
    </row>
    <row r="30" spans="1:7" ht="23.1" customHeight="1" x14ac:dyDescent="0.2">
      <c r="A30" s="25">
        <v>9</v>
      </c>
      <c r="B30" s="48" t="s">
        <v>88</v>
      </c>
      <c r="C30" s="51">
        <v>40573982</v>
      </c>
      <c r="D30" s="51">
        <v>50528887</v>
      </c>
      <c r="E30" s="51">
        <f t="shared" si="2"/>
        <v>9954905</v>
      </c>
      <c r="F30" s="70">
        <f t="shared" si="3"/>
        <v>0.24535193513912437</v>
      </c>
    </row>
    <row r="31" spans="1:7" ht="23.1" customHeight="1" x14ac:dyDescent="0.25">
      <c r="A31" s="29"/>
      <c r="B31" s="71" t="s">
        <v>89</v>
      </c>
      <c r="C31" s="27">
        <f>SUM(C22:C30)</f>
        <v>252073735</v>
      </c>
      <c r="D31" s="27">
        <f>SUM(D22:D30)</f>
        <v>264111731</v>
      </c>
      <c r="E31" s="27">
        <f t="shared" si="2"/>
        <v>12037996</v>
      </c>
      <c r="F31" s="28">
        <f t="shared" si="3"/>
        <v>4.7755852072410482E-2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24968769</v>
      </c>
      <c r="D33" s="27">
        <f>+D19-D31</f>
        <v>26564716</v>
      </c>
      <c r="E33" s="27">
        <f>D33-C33</f>
        <v>1595947</v>
      </c>
      <c r="F33" s="28">
        <f>IF(C33=0,0,E33/C33)</f>
        <v>6.391772858325534E-2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6395778</v>
      </c>
      <c r="D36" s="51">
        <v>2634485</v>
      </c>
      <c r="E36" s="51">
        <f>D36-C36</f>
        <v>-3761293</v>
      </c>
      <c r="F36" s="70">
        <f>IF(C36=0,0,E36/C36)</f>
        <v>-0.58808998686320879</v>
      </c>
    </row>
    <row r="37" spans="1:6" ht="23.1" customHeight="1" x14ac:dyDescent="0.2">
      <c r="A37" s="44">
        <v>2</v>
      </c>
      <c r="B37" s="48" t="s">
        <v>93</v>
      </c>
      <c r="C37" s="51">
        <v>158300</v>
      </c>
      <c r="D37" s="51">
        <v>147058</v>
      </c>
      <c r="E37" s="51">
        <f>D37-C37</f>
        <v>-11242</v>
      </c>
      <c r="F37" s="70">
        <f>IF(C37=0,0,E37/C37)</f>
        <v>-7.101705622236261E-2</v>
      </c>
    </row>
    <row r="38" spans="1:6" ht="23.1" customHeight="1" x14ac:dyDescent="0.2">
      <c r="A38" s="44">
        <v>3</v>
      </c>
      <c r="B38" s="48" t="s">
        <v>94</v>
      </c>
      <c r="C38" s="51">
        <v>-565873</v>
      </c>
      <c r="D38" s="51">
        <v>-29536</v>
      </c>
      <c r="E38" s="51">
        <f>D38-C38</f>
        <v>536337</v>
      </c>
      <c r="F38" s="70">
        <f>IF(C38=0,0,E38/C38)</f>
        <v>-0.94780454271541492</v>
      </c>
    </row>
    <row r="39" spans="1:6" ht="23.1" customHeight="1" x14ac:dyDescent="0.25">
      <c r="A39" s="20"/>
      <c r="B39" s="71" t="s">
        <v>95</v>
      </c>
      <c r="C39" s="27">
        <f>SUM(C36:C38)</f>
        <v>5988205</v>
      </c>
      <c r="D39" s="27">
        <f>SUM(D36:D38)</f>
        <v>2752007</v>
      </c>
      <c r="E39" s="27">
        <f>D39-C39</f>
        <v>-3236198</v>
      </c>
      <c r="F39" s="28">
        <f>IF(C39=0,0,E39/C39)</f>
        <v>-0.54042872613746529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30956974</v>
      </c>
      <c r="D41" s="27">
        <f>D33+D39</f>
        <v>29316723</v>
      </c>
      <c r="E41" s="27">
        <f>D41-C41</f>
        <v>-1640251</v>
      </c>
      <c r="F41" s="28">
        <f>IF(C41=0,0,E41/C41)</f>
        <v>-5.2984862150932455E-2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-5813831</v>
      </c>
      <c r="D44" s="51">
        <v>10067106</v>
      </c>
      <c r="E44" s="51">
        <f>D44-C44</f>
        <v>15880937</v>
      </c>
      <c r="F44" s="70">
        <f>IF(C44=0,0,E44/C44)</f>
        <v>-2.7315787129003235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-5813831</v>
      </c>
      <c r="D46" s="27">
        <f>SUM(D44:D45)</f>
        <v>10067106</v>
      </c>
      <c r="E46" s="27">
        <f>D46-C46</f>
        <v>15880937</v>
      </c>
      <c r="F46" s="28">
        <f>IF(C46=0,0,E46/C46)</f>
        <v>-2.7315787129003235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25143143</v>
      </c>
      <c r="D48" s="27">
        <f>D41+D46</f>
        <v>39383829</v>
      </c>
      <c r="E48" s="27">
        <f>D48-C48</f>
        <v>14240686</v>
      </c>
      <c r="F48" s="28">
        <f>IF(C48=0,0,E48/C48)</f>
        <v>0.56638448104916717</v>
      </c>
    </row>
    <row r="49" spans="1:6" ht="23.1" customHeight="1" x14ac:dyDescent="0.2">
      <c r="A49" s="44"/>
      <c r="B49" s="48" t="s">
        <v>102</v>
      </c>
      <c r="C49" s="51">
        <v>1948410</v>
      </c>
      <c r="D49" s="51">
        <v>2021619</v>
      </c>
      <c r="E49" s="51">
        <f>D49-C49</f>
        <v>73209</v>
      </c>
      <c r="F49" s="70">
        <f>IF(C49=0,0,E49/C49)</f>
        <v>3.7573713951375737E-2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FILING&amp;RWILLIAM W. BACKUS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7.855468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108699152</v>
      </c>
      <c r="D14" s="97">
        <v>108856037</v>
      </c>
      <c r="E14" s="97">
        <f t="shared" ref="E14:E25" si="0">D14-C14</f>
        <v>156885</v>
      </c>
      <c r="F14" s="98">
        <f t="shared" ref="F14:F25" si="1">IF(C14=0,0,E14/C14)</f>
        <v>1.443295528193265E-3</v>
      </c>
    </row>
    <row r="15" spans="1:6" ht="18" customHeight="1" x14ac:dyDescent="0.25">
      <c r="A15" s="99">
        <v>2</v>
      </c>
      <c r="B15" s="100" t="s">
        <v>113</v>
      </c>
      <c r="C15" s="97">
        <v>13962365</v>
      </c>
      <c r="D15" s="97">
        <v>16276648</v>
      </c>
      <c r="E15" s="97">
        <f t="shared" si="0"/>
        <v>2314283</v>
      </c>
      <c r="F15" s="98">
        <f t="shared" si="1"/>
        <v>0.16575150413271678</v>
      </c>
    </row>
    <row r="16" spans="1:6" ht="18" customHeight="1" x14ac:dyDescent="0.25">
      <c r="A16" s="99">
        <v>3</v>
      </c>
      <c r="B16" s="100" t="s">
        <v>114</v>
      </c>
      <c r="C16" s="97">
        <v>24905056</v>
      </c>
      <c r="D16" s="97">
        <v>33700260</v>
      </c>
      <c r="E16" s="97">
        <f t="shared" si="0"/>
        <v>8795204</v>
      </c>
      <c r="F16" s="98">
        <f t="shared" si="1"/>
        <v>0.35314933642389723</v>
      </c>
    </row>
    <row r="17" spans="1:6" ht="18" customHeight="1" x14ac:dyDescent="0.25">
      <c r="A17" s="99">
        <v>4</v>
      </c>
      <c r="B17" s="100" t="s">
        <v>115</v>
      </c>
      <c r="C17" s="97">
        <v>12299595</v>
      </c>
      <c r="D17" s="97">
        <v>3160099</v>
      </c>
      <c r="E17" s="97">
        <f t="shared" si="0"/>
        <v>-9139496</v>
      </c>
      <c r="F17" s="98">
        <f t="shared" si="1"/>
        <v>-0.74307292231979993</v>
      </c>
    </row>
    <row r="18" spans="1:6" ht="18" customHeight="1" x14ac:dyDescent="0.25">
      <c r="A18" s="99">
        <v>5</v>
      </c>
      <c r="B18" s="100" t="s">
        <v>116</v>
      </c>
      <c r="C18" s="97">
        <v>2882913</v>
      </c>
      <c r="D18" s="97">
        <v>3124142</v>
      </c>
      <c r="E18" s="97">
        <f t="shared" si="0"/>
        <v>241229</v>
      </c>
      <c r="F18" s="98">
        <f t="shared" si="1"/>
        <v>8.36754352281876E-2</v>
      </c>
    </row>
    <row r="19" spans="1:6" ht="18" customHeight="1" x14ac:dyDescent="0.25">
      <c r="A19" s="99">
        <v>6</v>
      </c>
      <c r="B19" s="100" t="s">
        <v>117</v>
      </c>
      <c r="C19" s="97">
        <v>3189114</v>
      </c>
      <c r="D19" s="97">
        <v>3505495</v>
      </c>
      <c r="E19" s="97">
        <f t="shared" si="0"/>
        <v>316381</v>
      </c>
      <c r="F19" s="98">
        <f t="shared" si="1"/>
        <v>9.9206550784951553E-2</v>
      </c>
    </row>
    <row r="20" spans="1:6" ht="18" customHeight="1" x14ac:dyDescent="0.25">
      <c r="A20" s="99">
        <v>7</v>
      </c>
      <c r="B20" s="100" t="s">
        <v>118</v>
      </c>
      <c r="C20" s="97">
        <v>69645010</v>
      </c>
      <c r="D20" s="97">
        <v>61675987</v>
      </c>
      <c r="E20" s="97">
        <f t="shared" si="0"/>
        <v>-7969023</v>
      </c>
      <c r="F20" s="98">
        <f t="shared" si="1"/>
        <v>-0.11442345977120257</v>
      </c>
    </row>
    <row r="21" spans="1:6" ht="18" customHeight="1" x14ac:dyDescent="0.25">
      <c r="A21" s="99">
        <v>8</v>
      </c>
      <c r="B21" s="100" t="s">
        <v>119</v>
      </c>
      <c r="C21" s="97">
        <v>4002610</v>
      </c>
      <c r="D21" s="97">
        <v>3086174</v>
      </c>
      <c r="E21" s="97">
        <f t="shared" si="0"/>
        <v>-916436</v>
      </c>
      <c r="F21" s="98">
        <f t="shared" si="1"/>
        <v>-0.22895960385848235</v>
      </c>
    </row>
    <row r="22" spans="1:6" ht="18" customHeight="1" x14ac:dyDescent="0.25">
      <c r="A22" s="99">
        <v>9</v>
      </c>
      <c r="B22" s="100" t="s">
        <v>120</v>
      </c>
      <c r="C22" s="97">
        <v>3268265</v>
      </c>
      <c r="D22" s="97">
        <v>2711434</v>
      </c>
      <c r="E22" s="97">
        <f t="shared" si="0"/>
        <v>-556831</v>
      </c>
      <c r="F22" s="98">
        <f t="shared" si="1"/>
        <v>-0.17037510728169228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1325716</v>
      </c>
      <c r="D24" s="97">
        <v>1256504</v>
      </c>
      <c r="E24" s="97">
        <f t="shared" si="0"/>
        <v>-69212</v>
      </c>
      <c r="F24" s="98">
        <f t="shared" si="1"/>
        <v>-5.2207260076818869E-2</v>
      </c>
    </row>
    <row r="25" spans="1:6" ht="18" customHeight="1" x14ac:dyDescent="0.25">
      <c r="A25" s="101"/>
      <c r="B25" s="102" t="s">
        <v>123</v>
      </c>
      <c r="C25" s="103">
        <f>SUM(C14:C24)</f>
        <v>244179796</v>
      </c>
      <c r="D25" s="103">
        <f>SUM(D14:D24)</f>
        <v>237352780</v>
      </c>
      <c r="E25" s="103">
        <f t="shared" si="0"/>
        <v>-6827016</v>
      </c>
      <c r="F25" s="104">
        <f t="shared" si="1"/>
        <v>-2.7958971675117624E-2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93652314</v>
      </c>
      <c r="D27" s="97">
        <v>102335050</v>
      </c>
      <c r="E27" s="97">
        <f t="shared" ref="E27:E38" si="2">D27-C27</f>
        <v>8682736</v>
      </c>
      <c r="F27" s="98">
        <f t="shared" ref="F27:F38" si="3">IF(C27=0,0,E27/C27)</f>
        <v>9.2712455561962948E-2</v>
      </c>
    </row>
    <row r="28" spans="1:6" ht="18" customHeight="1" x14ac:dyDescent="0.25">
      <c r="A28" s="99">
        <v>2</v>
      </c>
      <c r="B28" s="100" t="s">
        <v>113</v>
      </c>
      <c r="C28" s="97">
        <v>14343367</v>
      </c>
      <c r="D28" s="97">
        <v>18976421</v>
      </c>
      <c r="E28" s="97">
        <f t="shared" si="2"/>
        <v>4633054</v>
      </c>
      <c r="F28" s="98">
        <f t="shared" si="3"/>
        <v>0.32301021092188464</v>
      </c>
    </row>
    <row r="29" spans="1:6" ht="18" customHeight="1" x14ac:dyDescent="0.25">
      <c r="A29" s="99">
        <v>3</v>
      </c>
      <c r="B29" s="100" t="s">
        <v>114</v>
      </c>
      <c r="C29" s="97">
        <v>35205445</v>
      </c>
      <c r="D29" s="97">
        <v>62823444</v>
      </c>
      <c r="E29" s="97">
        <f t="shared" si="2"/>
        <v>27617999</v>
      </c>
      <c r="F29" s="98">
        <f t="shared" si="3"/>
        <v>0.78448089492974737</v>
      </c>
    </row>
    <row r="30" spans="1:6" ht="18" customHeight="1" x14ac:dyDescent="0.25">
      <c r="A30" s="99">
        <v>4</v>
      </c>
      <c r="B30" s="100" t="s">
        <v>115</v>
      </c>
      <c r="C30" s="97">
        <v>29955194</v>
      </c>
      <c r="D30" s="97">
        <v>7862902</v>
      </c>
      <c r="E30" s="97">
        <f t="shared" si="2"/>
        <v>-22092292</v>
      </c>
      <c r="F30" s="98">
        <f t="shared" si="3"/>
        <v>-0.73751123094045057</v>
      </c>
    </row>
    <row r="31" spans="1:6" ht="18" customHeight="1" x14ac:dyDescent="0.25">
      <c r="A31" s="99">
        <v>5</v>
      </c>
      <c r="B31" s="100" t="s">
        <v>116</v>
      </c>
      <c r="C31" s="97">
        <v>6860374</v>
      </c>
      <c r="D31" s="97">
        <v>7191710</v>
      </c>
      <c r="E31" s="97">
        <f t="shared" si="2"/>
        <v>331336</v>
      </c>
      <c r="F31" s="98">
        <f t="shared" si="3"/>
        <v>4.8297075348953278E-2</v>
      </c>
    </row>
    <row r="32" spans="1:6" ht="18" customHeight="1" x14ac:dyDescent="0.25">
      <c r="A32" s="99">
        <v>6</v>
      </c>
      <c r="B32" s="100" t="s">
        <v>117</v>
      </c>
      <c r="C32" s="97">
        <v>8165337</v>
      </c>
      <c r="D32" s="97">
        <v>9152850</v>
      </c>
      <c r="E32" s="97">
        <f t="shared" si="2"/>
        <v>987513</v>
      </c>
      <c r="F32" s="98">
        <f t="shared" si="3"/>
        <v>0.12093965013324007</v>
      </c>
    </row>
    <row r="33" spans="1:6" ht="18" customHeight="1" x14ac:dyDescent="0.25">
      <c r="A33" s="99">
        <v>7</v>
      </c>
      <c r="B33" s="100" t="s">
        <v>118</v>
      </c>
      <c r="C33" s="97">
        <v>153689229</v>
      </c>
      <c r="D33" s="97">
        <v>152482603</v>
      </c>
      <c r="E33" s="97">
        <f t="shared" si="2"/>
        <v>-1206626</v>
      </c>
      <c r="F33" s="98">
        <f t="shared" si="3"/>
        <v>-7.8510771890201881E-3</v>
      </c>
    </row>
    <row r="34" spans="1:6" ht="18" customHeight="1" x14ac:dyDescent="0.25">
      <c r="A34" s="99">
        <v>8</v>
      </c>
      <c r="B34" s="100" t="s">
        <v>119</v>
      </c>
      <c r="C34" s="97">
        <v>6894331</v>
      </c>
      <c r="D34" s="97">
        <v>5755854</v>
      </c>
      <c r="E34" s="97">
        <f t="shared" si="2"/>
        <v>-1138477</v>
      </c>
      <c r="F34" s="98">
        <f t="shared" si="3"/>
        <v>-0.16513233843863892</v>
      </c>
    </row>
    <row r="35" spans="1:6" ht="18" customHeight="1" x14ac:dyDescent="0.25">
      <c r="A35" s="99">
        <v>9</v>
      </c>
      <c r="B35" s="100" t="s">
        <v>120</v>
      </c>
      <c r="C35" s="97">
        <v>10017380</v>
      </c>
      <c r="D35" s="97">
        <v>10411627</v>
      </c>
      <c r="E35" s="97">
        <f t="shared" si="2"/>
        <v>394247</v>
      </c>
      <c r="F35" s="98">
        <f t="shared" si="3"/>
        <v>3.9356298752767686E-2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1097818</v>
      </c>
      <c r="D37" s="97">
        <v>1179222</v>
      </c>
      <c r="E37" s="97">
        <f t="shared" si="2"/>
        <v>81404</v>
      </c>
      <c r="F37" s="98">
        <f t="shared" si="3"/>
        <v>7.4150724437019616E-2</v>
      </c>
    </row>
    <row r="38" spans="1:6" ht="18" customHeight="1" x14ac:dyDescent="0.25">
      <c r="A38" s="101"/>
      <c r="B38" s="102" t="s">
        <v>126</v>
      </c>
      <c r="C38" s="103">
        <f>SUM(C27:C37)</f>
        <v>359880789</v>
      </c>
      <c r="D38" s="103">
        <f>SUM(D27:D37)</f>
        <v>378171683</v>
      </c>
      <c r="E38" s="103">
        <f t="shared" si="2"/>
        <v>18290894</v>
      </c>
      <c r="F38" s="104">
        <f t="shared" si="3"/>
        <v>5.0824869120757649E-2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202351466</v>
      </c>
      <c r="D41" s="103">
        <f t="shared" si="4"/>
        <v>211191087</v>
      </c>
      <c r="E41" s="107">
        <f t="shared" ref="E41:E52" si="5">D41-C41</f>
        <v>8839621</v>
      </c>
      <c r="F41" s="108">
        <f t="shared" ref="F41:F52" si="6">IF(C41=0,0,E41/C41)</f>
        <v>4.3684492011537984E-2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28305732</v>
      </c>
      <c r="D42" s="103">
        <f t="shared" si="4"/>
        <v>35253069</v>
      </c>
      <c r="E42" s="107">
        <f t="shared" si="5"/>
        <v>6947337</v>
      </c>
      <c r="F42" s="108">
        <f t="shared" si="6"/>
        <v>0.24543922764477527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60110501</v>
      </c>
      <c r="D43" s="103">
        <f t="shared" si="4"/>
        <v>96523704</v>
      </c>
      <c r="E43" s="107">
        <f t="shared" si="5"/>
        <v>36413203</v>
      </c>
      <c r="F43" s="108">
        <f t="shared" si="6"/>
        <v>0.60577107816818898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42254789</v>
      </c>
      <c r="D44" s="103">
        <f t="shared" si="4"/>
        <v>11023001</v>
      </c>
      <c r="E44" s="107">
        <f t="shared" si="5"/>
        <v>-31231788</v>
      </c>
      <c r="F44" s="108">
        <f t="shared" si="6"/>
        <v>-0.73913013741472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9743287</v>
      </c>
      <c r="D45" s="103">
        <f t="shared" si="4"/>
        <v>10315852</v>
      </c>
      <c r="E45" s="107">
        <f t="shared" si="5"/>
        <v>572565</v>
      </c>
      <c r="F45" s="108">
        <f t="shared" si="6"/>
        <v>5.8765075892765965E-2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11354451</v>
      </c>
      <c r="D46" s="103">
        <f t="shared" si="4"/>
        <v>12658345</v>
      </c>
      <c r="E46" s="107">
        <f t="shared" si="5"/>
        <v>1303894</v>
      </c>
      <c r="F46" s="108">
        <f t="shared" si="6"/>
        <v>0.11483549490856053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223334239</v>
      </c>
      <c r="D47" s="103">
        <f t="shared" si="4"/>
        <v>214158590</v>
      </c>
      <c r="E47" s="107">
        <f t="shared" si="5"/>
        <v>-9175649</v>
      </c>
      <c r="F47" s="108">
        <f t="shared" si="6"/>
        <v>-4.1084828914208719E-2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10896941</v>
      </c>
      <c r="D48" s="103">
        <f t="shared" si="4"/>
        <v>8842028</v>
      </c>
      <c r="E48" s="107">
        <f t="shared" si="5"/>
        <v>-2054913</v>
      </c>
      <c r="F48" s="108">
        <f t="shared" si="6"/>
        <v>-0.18857705111920858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13285645</v>
      </c>
      <c r="D49" s="103">
        <f t="shared" si="4"/>
        <v>13123061</v>
      </c>
      <c r="E49" s="107">
        <f t="shared" si="5"/>
        <v>-162584</v>
      </c>
      <c r="F49" s="108">
        <f t="shared" si="6"/>
        <v>-1.2237569195925377E-2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2423534</v>
      </c>
      <c r="D51" s="103">
        <f t="shared" si="4"/>
        <v>2435726</v>
      </c>
      <c r="E51" s="107">
        <f t="shared" si="5"/>
        <v>12192</v>
      </c>
      <c r="F51" s="108">
        <f t="shared" si="6"/>
        <v>5.0306700875663388E-3</v>
      </c>
    </row>
    <row r="52" spans="1:6" ht="18.75" customHeight="1" thickBot="1" x14ac:dyDescent="0.3">
      <c r="A52" s="109"/>
      <c r="B52" s="110" t="s">
        <v>128</v>
      </c>
      <c r="C52" s="111">
        <f>SUM(C41:C51)</f>
        <v>604060585</v>
      </c>
      <c r="D52" s="112">
        <f>SUM(D41:D51)</f>
        <v>615524463</v>
      </c>
      <c r="E52" s="111">
        <f t="shared" si="5"/>
        <v>11463878</v>
      </c>
      <c r="F52" s="113">
        <f t="shared" si="6"/>
        <v>1.8978026848085115E-2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45743280</v>
      </c>
      <c r="D57" s="97">
        <v>55423560</v>
      </c>
      <c r="E57" s="97">
        <f t="shared" ref="E57:E68" si="7">D57-C57</f>
        <v>9680280</v>
      </c>
      <c r="F57" s="98">
        <f t="shared" ref="F57:F68" si="8">IF(C57=0,0,E57/C57)</f>
        <v>0.21162190380751009</v>
      </c>
    </row>
    <row r="58" spans="1:6" ht="18" customHeight="1" x14ac:dyDescent="0.25">
      <c r="A58" s="99">
        <v>2</v>
      </c>
      <c r="B58" s="100" t="s">
        <v>113</v>
      </c>
      <c r="C58" s="97">
        <v>5790541</v>
      </c>
      <c r="D58" s="97">
        <v>6684346</v>
      </c>
      <c r="E58" s="97">
        <f t="shared" si="7"/>
        <v>893805</v>
      </c>
      <c r="F58" s="98">
        <f t="shared" si="8"/>
        <v>0.15435604376171413</v>
      </c>
    </row>
    <row r="59" spans="1:6" ht="18" customHeight="1" x14ac:dyDescent="0.25">
      <c r="A59" s="99">
        <v>3</v>
      </c>
      <c r="B59" s="100" t="s">
        <v>114</v>
      </c>
      <c r="C59" s="97">
        <v>7327731</v>
      </c>
      <c r="D59" s="97">
        <v>9406928</v>
      </c>
      <c r="E59" s="97">
        <f t="shared" si="7"/>
        <v>2079197</v>
      </c>
      <c r="F59" s="98">
        <f t="shared" si="8"/>
        <v>0.28374363087291277</v>
      </c>
    </row>
    <row r="60" spans="1:6" ht="18" customHeight="1" x14ac:dyDescent="0.25">
      <c r="A60" s="99">
        <v>4</v>
      </c>
      <c r="B60" s="100" t="s">
        <v>115</v>
      </c>
      <c r="C60" s="97">
        <v>3598585</v>
      </c>
      <c r="D60" s="97">
        <v>860977</v>
      </c>
      <c r="E60" s="97">
        <f t="shared" si="7"/>
        <v>-2737608</v>
      </c>
      <c r="F60" s="98">
        <f t="shared" si="8"/>
        <v>-0.76074568198333514</v>
      </c>
    </row>
    <row r="61" spans="1:6" ht="18" customHeight="1" x14ac:dyDescent="0.25">
      <c r="A61" s="99">
        <v>5</v>
      </c>
      <c r="B61" s="100" t="s">
        <v>116</v>
      </c>
      <c r="C61" s="97">
        <v>1160549</v>
      </c>
      <c r="D61" s="97">
        <v>1364747</v>
      </c>
      <c r="E61" s="97">
        <f t="shared" si="7"/>
        <v>204198</v>
      </c>
      <c r="F61" s="98">
        <f t="shared" si="8"/>
        <v>0.17594948597603374</v>
      </c>
    </row>
    <row r="62" spans="1:6" ht="18" customHeight="1" x14ac:dyDescent="0.25">
      <c r="A62" s="99">
        <v>6</v>
      </c>
      <c r="B62" s="100" t="s">
        <v>117</v>
      </c>
      <c r="C62" s="97">
        <v>2824803</v>
      </c>
      <c r="D62" s="97">
        <v>3176899</v>
      </c>
      <c r="E62" s="97">
        <f t="shared" si="7"/>
        <v>352096</v>
      </c>
      <c r="F62" s="98">
        <f t="shared" si="8"/>
        <v>0.12464444423204026</v>
      </c>
    </row>
    <row r="63" spans="1:6" ht="18" customHeight="1" x14ac:dyDescent="0.25">
      <c r="A63" s="99">
        <v>7</v>
      </c>
      <c r="B63" s="100" t="s">
        <v>118</v>
      </c>
      <c r="C63" s="97">
        <v>53889334</v>
      </c>
      <c r="D63" s="97">
        <v>50064203</v>
      </c>
      <c r="E63" s="97">
        <f t="shared" si="7"/>
        <v>-3825131</v>
      </c>
      <c r="F63" s="98">
        <f t="shared" si="8"/>
        <v>-7.0981226080841897E-2</v>
      </c>
    </row>
    <row r="64" spans="1:6" ht="18" customHeight="1" x14ac:dyDescent="0.25">
      <c r="A64" s="99">
        <v>8</v>
      </c>
      <c r="B64" s="100" t="s">
        <v>119</v>
      </c>
      <c r="C64" s="97">
        <v>3003982</v>
      </c>
      <c r="D64" s="97">
        <v>2407196</v>
      </c>
      <c r="E64" s="97">
        <f t="shared" si="7"/>
        <v>-596786</v>
      </c>
      <c r="F64" s="98">
        <f t="shared" si="8"/>
        <v>-0.19866497202712932</v>
      </c>
    </row>
    <row r="65" spans="1:6" ht="18" customHeight="1" x14ac:dyDescent="0.25">
      <c r="A65" s="99">
        <v>9</v>
      </c>
      <c r="B65" s="100" t="s">
        <v>120</v>
      </c>
      <c r="C65" s="97">
        <v>702521</v>
      </c>
      <c r="D65" s="97">
        <v>706485</v>
      </c>
      <c r="E65" s="97">
        <f t="shared" si="7"/>
        <v>3964</v>
      </c>
      <c r="F65" s="98">
        <f t="shared" si="8"/>
        <v>5.6425359526619135E-3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284954</v>
      </c>
      <c r="D67" s="97">
        <v>362821</v>
      </c>
      <c r="E67" s="97">
        <f t="shared" si="7"/>
        <v>77867</v>
      </c>
      <c r="F67" s="98">
        <f t="shared" si="8"/>
        <v>0.27326164924865065</v>
      </c>
    </row>
    <row r="68" spans="1:6" ht="18" customHeight="1" x14ac:dyDescent="0.25">
      <c r="A68" s="101"/>
      <c r="B68" s="102" t="s">
        <v>131</v>
      </c>
      <c r="C68" s="103">
        <f>SUM(C57:C67)</f>
        <v>124326280</v>
      </c>
      <c r="D68" s="103">
        <f>SUM(D57:D67)</f>
        <v>130458162</v>
      </c>
      <c r="E68" s="103">
        <f t="shared" si="7"/>
        <v>6131882</v>
      </c>
      <c r="F68" s="104">
        <f t="shared" si="8"/>
        <v>4.9320883726272517E-2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23798621</v>
      </c>
      <c r="D70" s="97">
        <v>25193532</v>
      </c>
      <c r="E70" s="97">
        <f t="shared" ref="E70:E81" si="9">D70-C70</f>
        <v>1394911</v>
      </c>
      <c r="F70" s="98">
        <f t="shared" ref="F70:F81" si="10">IF(C70=0,0,E70/C70)</f>
        <v>5.8613101994439087E-2</v>
      </c>
    </row>
    <row r="71" spans="1:6" ht="18" customHeight="1" x14ac:dyDescent="0.25">
      <c r="A71" s="99">
        <v>2</v>
      </c>
      <c r="B71" s="100" t="s">
        <v>113</v>
      </c>
      <c r="C71" s="97">
        <v>3294352</v>
      </c>
      <c r="D71" s="97">
        <v>4556262</v>
      </c>
      <c r="E71" s="97">
        <f t="shared" si="9"/>
        <v>1261910</v>
      </c>
      <c r="F71" s="98">
        <f t="shared" si="10"/>
        <v>0.38305256997430753</v>
      </c>
    </row>
    <row r="72" spans="1:6" ht="18" customHeight="1" x14ac:dyDescent="0.25">
      <c r="A72" s="99">
        <v>3</v>
      </c>
      <c r="B72" s="100" t="s">
        <v>114</v>
      </c>
      <c r="C72" s="97">
        <v>7120642</v>
      </c>
      <c r="D72" s="97">
        <v>13642669</v>
      </c>
      <c r="E72" s="97">
        <f t="shared" si="9"/>
        <v>6522027</v>
      </c>
      <c r="F72" s="98">
        <f t="shared" si="10"/>
        <v>0.91593243979966976</v>
      </c>
    </row>
    <row r="73" spans="1:6" ht="18" customHeight="1" x14ac:dyDescent="0.25">
      <c r="A73" s="99">
        <v>4</v>
      </c>
      <c r="B73" s="100" t="s">
        <v>115</v>
      </c>
      <c r="C73" s="97">
        <v>8411984</v>
      </c>
      <c r="D73" s="97">
        <v>2157866</v>
      </c>
      <c r="E73" s="97">
        <f t="shared" si="9"/>
        <v>-6254118</v>
      </c>
      <c r="F73" s="98">
        <f t="shared" si="10"/>
        <v>-0.74347716305689593</v>
      </c>
    </row>
    <row r="74" spans="1:6" ht="18" customHeight="1" x14ac:dyDescent="0.25">
      <c r="A74" s="99">
        <v>5</v>
      </c>
      <c r="B74" s="100" t="s">
        <v>116</v>
      </c>
      <c r="C74" s="97">
        <v>1906524</v>
      </c>
      <c r="D74" s="97">
        <v>1957670</v>
      </c>
      <c r="E74" s="97">
        <f t="shared" si="9"/>
        <v>51146</v>
      </c>
      <c r="F74" s="98">
        <f t="shared" si="10"/>
        <v>2.6826832497256786E-2</v>
      </c>
    </row>
    <row r="75" spans="1:6" ht="18" customHeight="1" x14ac:dyDescent="0.25">
      <c r="A75" s="99">
        <v>6</v>
      </c>
      <c r="B75" s="100" t="s">
        <v>117</v>
      </c>
      <c r="C75" s="97">
        <v>6778292</v>
      </c>
      <c r="D75" s="97">
        <v>7704302</v>
      </c>
      <c r="E75" s="97">
        <f t="shared" si="9"/>
        <v>926010</v>
      </c>
      <c r="F75" s="98">
        <f t="shared" si="10"/>
        <v>0.13661406147743413</v>
      </c>
    </row>
    <row r="76" spans="1:6" ht="18" customHeight="1" x14ac:dyDescent="0.25">
      <c r="A76" s="99">
        <v>7</v>
      </c>
      <c r="B76" s="100" t="s">
        <v>118</v>
      </c>
      <c r="C76" s="97">
        <v>84378495</v>
      </c>
      <c r="D76" s="97">
        <v>85293028</v>
      </c>
      <c r="E76" s="97">
        <f t="shared" si="9"/>
        <v>914533</v>
      </c>
      <c r="F76" s="98">
        <f t="shared" si="10"/>
        <v>1.083846067650294E-2</v>
      </c>
    </row>
    <row r="77" spans="1:6" ht="18" customHeight="1" x14ac:dyDescent="0.25">
      <c r="A77" s="99">
        <v>8</v>
      </c>
      <c r="B77" s="100" t="s">
        <v>119</v>
      </c>
      <c r="C77" s="97">
        <v>4965320</v>
      </c>
      <c r="D77" s="97">
        <v>4079984</v>
      </c>
      <c r="E77" s="97">
        <f t="shared" si="9"/>
        <v>-885336</v>
      </c>
      <c r="F77" s="98">
        <f t="shared" si="10"/>
        <v>-0.17830391596110623</v>
      </c>
    </row>
    <row r="78" spans="1:6" ht="18" customHeight="1" x14ac:dyDescent="0.25">
      <c r="A78" s="99">
        <v>9</v>
      </c>
      <c r="B78" s="100" t="s">
        <v>120</v>
      </c>
      <c r="C78" s="97">
        <v>2365301</v>
      </c>
      <c r="D78" s="97">
        <v>1974665</v>
      </c>
      <c r="E78" s="97">
        <f t="shared" si="9"/>
        <v>-390636</v>
      </c>
      <c r="F78" s="98">
        <f t="shared" si="10"/>
        <v>-0.16515276491237268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285216</v>
      </c>
      <c r="D80" s="97">
        <v>266662</v>
      </c>
      <c r="E80" s="97">
        <f t="shared" si="9"/>
        <v>-18554</v>
      </c>
      <c r="F80" s="98">
        <f t="shared" si="10"/>
        <v>-6.5052451475373044E-2</v>
      </c>
    </row>
    <row r="81" spans="1:6" ht="18" customHeight="1" x14ac:dyDescent="0.25">
      <c r="A81" s="101"/>
      <c r="B81" s="102" t="s">
        <v>133</v>
      </c>
      <c r="C81" s="103">
        <f>SUM(C70:C80)</f>
        <v>143304747</v>
      </c>
      <c r="D81" s="103">
        <f>SUM(D70:D80)</f>
        <v>146826640</v>
      </c>
      <c r="E81" s="103">
        <f t="shared" si="9"/>
        <v>3521893</v>
      </c>
      <c r="F81" s="104">
        <f t="shared" si="10"/>
        <v>2.457624798709564E-2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69541901</v>
      </c>
      <c r="D84" s="103">
        <f t="shared" si="11"/>
        <v>80617092</v>
      </c>
      <c r="E84" s="103">
        <f t="shared" ref="E84:E95" si="12">D84-C84</f>
        <v>11075191</v>
      </c>
      <c r="F84" s="104">
        <f t="shared" ref="F84:F95" si="13">IF(C84=0,0,E84/C84)</f>
        <v>0.15925925004552291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9084893</v>
      </c>
      <c r="D85" s="103">
        <f t="shared" si="11"/>
        <v>11240608</v>
      </c>
      <c r="E85" s="103">
        <f t="shared" si="12"/>
        <v>2155715</v>
      </c>
      <c r="F85" s="104">
        <f t="shared" si="13"/>
        <v>0.23728567854348973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14448373</v>
      </c>
      <c r="D86" s="103">
        <f t="shared" si="11"/>
        <v>23049597</v>
      </c>
      <c r="E86" s="103">
        <f t="shared" si="12"/>
        <v>8601224</v>
      </c>
      <c r="F86" s="104">
        <f t="shared" si="13"/>
        <v>0.59530744395926105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12010569</v>
      </c>
      <c r="D87" s="103">
        <f t="shared" si="11"/>
        <v>3018843</v>
      </c>
      <c r="E87" s="103">
        <f t="shared" si="12"/>
        <v>-8991726</v>
      </c>
      <c r="F87" s="104">
        <f t="shared" si="13"/>
        <v>-0.74865112552119717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3067073</v>
      </c>
      <c r="D88" s="103">
        <f t="shared" si="11"/>
        <v>3322417</v>
      </c>
      <c r="E88" s="103">
        <f t="shared" si="12"/>
        <v>255344</v>
      </c>
      <c r="F88" s="104">
        <f t="shared" si="13"/>
        <v>8.3253316761616042E-2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9603095</v>
      </c>
      <c r="D89" s="103">
        <f t="shared" si="11"/>
        <v>10881201</v>
      </c>
      <c r="E89" s="103">
        <f t="shared" si="12"/>
        <v>1278106</v>
      </c>
      <c r="F89" s="104">
        <f t="shared" si="13"/>
        <v>0.13309313299514375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138267829</v>
      </c>
      <c r="D90" s="103">
        <f t="shared" si="11"/>
        <v>135357231</v>
      </c>
      <c r="E90" s="103">
        <f t="shared" si="12"/>
        <v>-2910598</v>
      </c>
      <c r="F90" s="104">
        <f t="shared" si="13"/>
        <v>-2.1050435383635047E-2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7969302</v>
      </c>
      <c r="D91" s="103">
        <f t="shared" si="11"/>
        <v>6487180</v>
      </c>
      <c r="E91" s="103">
        <f t="shared" si="12"/>
        <v>-1482122</v>
      </c>
      <c r="F91" s="104">
        <f t="shared" si="13"/>
        <v>-0.18597889752452598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3067822</v>
      </c>
      <c r="D92" s="103">
        <f t="shared" si="11"/>
        <v>2681150</v>
      </c>
      <c r="E92" s="103">
        <f t="shared" si="12"/>
        <v>-386672</v>
      </c>
      <c r="F92" s="104">
        <f t="shared" si="13"/>
        <v>-0.12604121099594434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570170</v>
      </c>
      <c r="D94" s="103">
        <f t="shared" si="11"/>
        <v>629483</v>
      </c>
      <c r="E94" s="103">
        <f t="shared" si="12"/>
        <v>59313</v>
      </c>
      <c r="F94" s="104">
        <f t="shared" si="13"/>
        <v>0.10402686917936756</v>
      </c>
    </row>
    <row r="95" spans="1:6" ht="18.75" customHeight="1" thickBot="1" x14ac:dyDescent="0.3">
      <c r="A95" s="115"/>
      <c r="B95" s="116" t="s">
        <v>134</v>
      </c>
      <c r="C95" s="112">
        <f>SUM(C84:C94)</f>
        <v>267631027</v>
      </c>
      <c r="D95" s="112">
        <f>SUM(D84:D94)</f>
        <v>277284802</v>
      </c>
      <c r="E95" s="112">
        <f t="shared" si="12"/>
        <v>9653775</v>
      </c>
      <c r="F95" s="113">
        <f t="shared" si="13"/>
        <v>3.6071210084322548E-2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4617</v>
      </c>
      <c r="D100" s="117">
        <v>4787</v>
      </c>
      <c r="E100" s="117">
        <f t="shared" ref="E100:E111" si="14">D100-C100</f>
        <v>170</v>
      </c>
      <c r="F100" s="98">
        <f t="shared" ref="F100:F111" si="15">IF(C100=0,0,E100/C100)</f>
        <v>3.6820446177171326E-2</v>
      </c>
    </row>
    <row r="101" spans="1:6" ht="18" customHeight="1" x14ac:dyDescent="0.25">
      <c r="A101" s="99">
        <v>2</v>
      </c>
      <c r="B101" s="100" t="s">
        <v>113</v>
      </c>
      <c r="C101" s="117">
        <v>583</v>
      </c>
      <c r="D101" s="117">
        <v>721</v>
      </c>
      <c r="E101" s="117">
        <f t="shared" si="14"/>
        <v>138</v>
      </c>
      <c r="F101" s="98">
        <f t="shared" si="15"/>
        <v>0.23670668953687821</v>
      </c>
    </row>
    <row r="102" spans="1:6" ht="18" customHeight="1" x14ac:dyDescent="0.25">
      <c r="A102" s="99">
        <v>3</v>
      </c>
      <c r="B102" s="100" t="s">
        <v>114</v>
      </c>
      <c r="C102" s="117">
        <v>1205</v>
      </c>
      <c r="D102" s="117">
        <v>2055</v>
      </c>
      <c r="E102" s="117">
        <f t="shared" si="14"/>
        <v>850</v>
      </c>
      <c r="F102" s="98">
        <f t="shared" si="15"/>
        <v>0.70539419087136934</v>
      </c>
    </row>
    <row r="103" spans="1:6" ht="18" customHeight="1" x14ac:dyDescent="0.25">
      <c r="A103" s="99">
        <v>4</v>
      </c>
      <c r="B103" s="100" t="s">
        <v>115</v>
      </c>
      <c r="C103" s="117">
        <v>1113</v>
      </c>
      <c r="D103" s="117">
        <v>231</v>
      </c>
      <c r="E103" s="117">
        <f t="shared" si="14"/>
        <v>-882</v>
      </c>
      <c r="F103" s="98">
        <f t="shared" si="15"/>
        <v>-0.79245283018867929</v>
      </c>
    </row>
    <row r="104" spans="1:6" ht="18" customHeight="1" x14ac:dyDescent="0.25">
      <c r="A104" s="99">
        <v>5</v>
      </c>
      <c r="B104" s="100" t="s">
        <v>116</v>
      </c>
      <c r="C104" s="117">
        <v>237</v>
      </c>
      <c r="D104" s="117">
        <v>220</v>
      </c>
      <c r="E104" s="117">
        <f t="shared" si="14"/>
        <v>-17</v>
      </c>
      <c r="F104" s="98">
        <f t="shared" si="15"/>
        <v>-7.1729957805907171E-2</v>
      </c>
    </row>
    <row r="105" spans="1:6" ht="18" customHeight="1" x14ac:dyDescent="0.25">
      <c r="A105" s="99">
        <v>6</v>
      </c>
      <c r="B105" s="100" t="s">
        <v>117</v>
      </c>
      <c r="C105" s="117">
        <v>146</v>
      </c>
      <c r="D105" s="117">
        <v>169</v>
      </c>
      <c r="E105" s="117">
        <f t="shared" si="14"/>
        <v>23</v>
      </c>
      <c r="F105" s="98">
        <f t="shared" si="15"/>
        <v>0.15753424657534246</v>
      </c>
    </row>
    <row r="106" spans="1:6" ht="18" customHeight="1" x14ac:dyDescent="0.25">
      <c r="A106" s="99">
        <v>7</v>
      </c>
      <c r="B106" s="100" t="s">
        <v>118</v>
      </c>
      <c r="C106" s="117">
        <v>3730</v>
      </c>
      <c r="D106" s="117">
        <v>3433</v>
      </c>
      <c r="E106" s="117">
        <f t="shared" si="14"/>
        <v>-297</v>
      </c>
      <c r="F106" s="98">
        <f t="shared" si="15"/>
        <v>-7.9624664879356571E-2</v>
      </c>
    </row>
    <row r="107" spans="1:6" ht="18" customHeight="1" x14ac:dyDescent="0.25">
      <c r="A107" s="99">
        <v>8</v>
      </c>
      <c r="B107" s="100" t="s">
        <v>119</v>
      </c>
      <c r="C107" s="117">
        <v>130</v>
      </c>
      <c r="D107" s="117">
        <v>110</v>
      </c>
      <c r="E107" s="117">
        <f t="shared" si="14"/>
        <v>-20</v>
      </c>
      <c r="F107" s="98">
        <f t="shared" si="15"/>
        <v>-0.15384615384615385</v>
      </c>
    </row>
    <row r="108" spans="1:6" ht="18" customHeight="1" x14ac:dyDescent="0.25">
      <c r="A108" s="99">
        <v>9</v>
      </c>
      <c r="B108" s="100" t="s">
        <v>120</v>
      </c>
      <c r="C108" s="117">
        <v>172</v>
      </c>
      <c r="D108" s="117">
        <v>124</v>
      </c>
      <c r="E108" s="117">
        <f t="shared" si="14"/>
        <v>-48</v>
      </c>
      <c r="F108" s="98">
        <f t="shared" si="15"/>
        <v>-0.27906976744186046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66</v>
      </c>
      <c r="D110" s="117">
        <v>61</v>
      </c>
      <c r="E110" s="117">
        <f t="shared" si="14"/>
        <v>-5</v>
      </c>
      <c r="F110" s="98">
        <f t="shared" si="15"/>
        <v>-7.575757575757576E-2</v>
      </c>
    </row>
    <row r="111" spans="1:6" ht="18" customHeight="1" x14ac:dyDescent="0.25">
      <c r="A111" s="101"/>
      <c r="B111" s="102" t="s">
        <v>138</v>
      </c>
      <c r="C111" s="118">
        <f>SUM(C100:C110)</f>
        <v>11999</v>
      </c>
      <c r="D111" s="118">
        <f>SUM(D100:D110)</f>
        <v>11911</v>
      </c>
      <c r="E111" s="118">
        <f t="shared" si="14"/>
        <v>-88</v>
      </c>
      <c r="F111" s="104">
        <f t="shared" si="15"/>
        <v>-7.3339444953746148E-3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22778</v>
      </c>
      <c r="D113" s="117">
        <v>23639</v>
      </c>
      <c r="E113" s="117">
        <f t="shared" ref="E113:E124" si="16">D113-C113</f>
        <v>861</v>
      </c>
      <c r="F113" s="98">
        <f t="shared" ref="F113:F124" si="17">IF(C113=0,0,E113/C113)</f>
        <v>3.7799631223110017E-2</v>
      </c>
    </row>
    <row r="114" spans="1:6" ht="18" customHeight="1" x14ac:dyDescent="0.25">
      <c r="A114" s="99">
        <v>2</v>
      </c>
      <c r="B114" s="100" t="s">
        <v>113</v>
      </c>
      <c r="C114" s="117">
        <v>2805</v>
      </c>
      <c r="D114" s="117">
        <v>3279</v>
      </c>
      <c r="E114" s="117">
        <f t="shared" si="16"/>
        <v>474</v>
      </c>
      <c r="F114" s="98">
        <f t="shared" si="17"/>
        <v>0.16898395721925133</v>
      </c>
    </row>
    <row r="115" spans="1:6" ht="18" customHeight="1" x14ac:dyDescent="0.25">
      <c r="A115" s="99">
        <v>3</v>
      </c>
      <c r="B115" s="100" t="s">
        <v>114</v>
      </c>
      <c r="C115" s="117">
        <v>5833</v>
      </c>
      <c r="D115" s="117">
        <v>8064</v>
      </c>
      <c r="E115" s="117">
        <f t="shared" si="16"/>
        <v>2231</v>
      </c>
      <c r="F115" s="98">
        <f t="shared" si="17"/>
        <v>0.38247899879993141</v>
      </c>
    </row>
    <row r="116" spans="1:6" ht="18" customHeight="1" x14ac:dyDescent="0.25">
      <c r="A116" s="99">
        <v>4</v>
      </c>
      <c r="B116" s="100" t="s">
        <v>115</v>
      </c>
      <c r="C116" s="117">
        <v>3236</v>
      </c>
      <c r="D116" s="117">
        <v>748</v>
      </c>
      <c r="E116" s="117">
        <f t="shared" si="16"/>
        <v>-2488</v>
      </c>
      <c r="F116" s="98">
        <f t="shared" si="17"/>
        <v>-0.76885043263288011</v>
      </c>
    </row>
    <row r="117" spans="1:6" ht="18" customHeight="1" x14ac:dyDescent="0.25">
      <c r="A117" s="99">
        <v>5</v>
      </c>
      <c r="B117" s="100" t="s">
        <v>116</v>
      </c>
      <c r="C117" s="117">
        <v>617</v>
      </c>
      <c r="D117" s="117">
        <v>636</v>
      </c>
      <c r="E117" s="117">
        <f t="shared" si="16"/>
        <v>19</v>
      </c>
      <c r="F117" s="98">
        <f t="shared" si="17"/>
        <v>3.0794165316045379E-2</v>
      </c>
    </row>
    <row r="118" spans="1:6" ht="18" customHeight="1" x14ac:dyDescent="0.25">
      <c r="A118" s="99">
        <v>6</v>
      </c>
      <c r="B118" s="100" t="s">
        <v>117</v>
      </c>
      <c r="C118" s="117">
        <v>487</v>
      </c>
      <c r="D118" s="117">
        <v>584</v>
      </c>
      <c r="E118" s="117">
        <f t="shared" si="16"/>
        <v>97</v>
      </c>
      <c r="F118" s="98">
        <f t="shared" si="17"/>
        <v>0.19917864476386038</v>
      </c>
    </row>
    <row r="119" spans="1:6" ht="18" customHeight="1" x14ac:dyDescent="0.25">
      <c r="A119" s="99">
        <v>7</v>
      </c>
      <c r="B119" s="100" t="s">
        <v>118</v>
      </c>
      <c r="C119" s="117">
        <v>12482</v>
      </c>
      <c r="D119" s="117">
        <v>11225</v>
      </c>
      <c r="E119" s="117">
        <f t="shared" si="16"/>
        <v>-1257</v>
      </c>
      <c r="F119" s="98">
        <f t="shared" si="17"/>
        <v>-0.10070501522191956</v>
      </c>
    </row>
    <row r="120" spans="1:6" ht="18" customHeight="1" x14ac:dyDescent="0.25">
      <c r="A120" s="99">
        <v>8</v>
      </c>
      <c r="B120" s="100" t="s">
        <v>119</v>
      </c>
      <c r="C120" s="117">
        <v>353</v>
      </c>
      <c r="D120" s="117">
        <v>318</v>
      </c>
      <c r="E120" s="117">
        <f t="shared" si="16"/>
        <v>-35</v>
      </c>
      <c r="F120" s="98">
        <f t="shared" si="17"/>
        <v>-9.9150141643059492E-2</v>
      </c>
    </row>
    <row r="121" spans="1:6" ht="18" customHeight="1" x14ac:dyDescent="0.25">
      <c r="A121" s="99">
        <v>9</v>
      </c>
      <c r="B121" s="100" t="s">
        <v>120</v>
      </c>
      <c r="C121" s="117">
        <v>697</v>
      </c>
      <c r="D121" s="117">
        <v>595</v>
      </c>
      <c r="E121" s="117">
        <f t="shared" si="16"/>
        <v>-102</v>
      </c>
      <c r="F121" s="98">
        <f t="shared" si="17"/>
        <v>-0.14634146341463414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366</v>
      </c>
      <c r="D123" s="117">
        <v>273</v>
      </c>
      <c r="E123" s="117">
        <f t="shared" si="16"/>
        <v>-93</v>
      </c>
      <c r="F123" s="98">
        <f t="shared" si="17"/>
        <v>-0.25409836065573771</v>
      </c>
    </row>
    <row r="124" spans="1:6" ht="18" customHeight="1" x14ac:dyDescent="0.25">
      <c r="A124" s="101"/>
      <c r="B124" s="102" t="s">
        <v>140</v>
      </c>
      <c r="C124" s="118">
        <f>SUM(C113:C123)</f>
        <v>49654</v>
      </c>
      <c r="D124" s="118">
        <f>SUM(D113:D123)</f>
        <v>49361</v>
      </c>
      <c r="E124" s="118">
        <f t="shared" si="16"/>
        <v>-293</v>
      </c>
      <c r="F124" s="104">
        <f t="shared" si="17"/>
        <v>-5.9008337696862291E-3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105292</v>
      </c>
      <c r="D126" s="117">
        <v>107376</v>
      </c>
      <c r="E126" s="117">
        <f t="shared" ref="E126:E137" si="18">D126-C126</f>
        <v>2084</v>
      </c>
      <c r="F126" s="98">
        <f t="shared" ref="F126:F137" si="19">IF(C126=0,0,E126/C126)</f>
        <v>1.9792576833947497E-2</v>
      </c>
    </row>
    <row r="127" spans="1:6" ht="18" customHeight="1" x14ac:dyDescent="0.25">
      <c r="A127" s="99">
        <v>2</v>
      </c>
      <c r="B127" s="100" t="s">
        <v>113</v>
      </c>
      <c r="C127" s="117">
        <v>11042</v>
      </c>
      <c r="D127" s="117">
        <v>13558</v>
      </c>
      <c r="E127" s="117">
        <f t="shared" si="18"/>
        <v>2516</v>
      </c>
      <c r="F127" s="98">
        <f t="shared" si="19"/>
        <v>0.22785727223329108</v>
      </c>
    </row>
    <row r="128" spans="1:6" ht="18" customHeight="1" x14ac:dyDescent="0.25">
      <c r="A128" s="99">
        <v>3</v>
      </c>
      <c r="B128" s="100" t="s">
        <v>114</v>
      </c>
      <c r="C128" s="117">
        <v>39951</v>
      </c>
      <c r="D128" s="117">
        <v>62474</v>
      </c>
      <c r="E128" s="117">
        <f t="shared" si="18"/>
        <v>22523</v>
      </c>
      <c r="F128" s="98">
        <f t="shared" si="19"/>
        <v>0.56376561287577287</v>
      </c>
    </row>
    <row r="129" spans="1:6" ht="18" customHeight="1" x14ac:dyDescent="0.25">
      <c r="A129" s="99">
        <v>4</v>
      </c>
      <c r="B129" s="100" t="s">
        <v>115</v>
      </c>
      <c r="C129" s="117">
        <v>26245</v>
      </c>
      <c r="D129" s="117">
        <v>6719</v>
      </c>
      <c r="E129" s="117">
        <f t="shared" si="18"/>
        <v>-19526</v>
      </c>
      <c r="F129" s="98">
        <f t="shared" si="19"/>
        <v>-0.74398933130120026</v>
      </c>
    </row>
    <row r="130" spans="1:6" ht="18" customHeight="1" x14ac:dyDescent="0.25">
      <c r="A130" s="99">
        <v>5</v>
      </c>
      <c r="B130" s="100" t="s">
        <v>116</v>
      </c>
      <c r="C130" s="117">
        <v>6874</v>
      </c>
      <c r="D130" s="117">
        <v>6716</v>
      </c>
      <c r="E130" s="117">
        <f t="shared" si="18"/>
        <v>-158</v>
      </c>
      <c r="F130" s="98">
        <f t="shared" si="19"/>
        <v>-2.2985161478033169E-2</v>
      </c>
    </row>
    <row r="131" spans="1:6" ht="18" customHeight="1" x14ac:dyDescent="0.25">
      <c r="A131" s="99">
        <v>6</v>
      </c>
      <c r="B131" s="100" t="s">
        <v>117</v>
      </c>
      <c r="C131" s="117">
        <v>6696</v>
      </c>
      <c r="D131" s="117">
        <v>7380</v>
      </c>
      <c r="E131" s="117">
        <f t="shared" si="18"/>
        <v>684</v>
      </c>
      <c r="F131" s="98">
        <f t="shared" si="19"/>
        <v>0.10215053763440861</v>
      </c>
    </row>
    <row r="132" spans="1:6" ht="18" customHeight="1" x14ac:dyDescent="0.25">
      <c r="A132" s="99">
        <v>7</v>
      </c>
      <c r="B132" s="100" t="s">
        <v>118</v>
      </c>
      <c r="C132" s="117">
        <v>168142</v>
      </c>
      <c r="D132" s="117">
        <v>166630</v>
      </c>
      <c r="E132" s="117">
        <f t="shared" si="18"/>
        <v>-1512</v>
      </c>
      <c r="F132" s="98">
        <f t="shared" si="19"/>
        <v>-8.9923992815596349E-3</v>
      </c>
    </row>
    <row r="133" spans="1:6" ht="18" customHeight="1" x14ac:dyDescent="0.25">
      <c r="A133" s="99">
        <v>8</v>
      </c>
      <c r="B133" s="100" t="s">
        <v>119</v>
      </c>
      <c r="C133" s="117">
        <v>4807</v>
      </c>
      <c r="D133" s="117">
        <v>4310</v>
      </c>
      <c r="E133" s="117">
        <f t="shared" si="18"/>
        <v>-497</v>
      </c>
      <c r="F133" s="98">
        <f t="shared" si="19"/>
        <v>-0.10339088828791346</v>
      </c>
    </row>
    <row r="134" spans="1:6" ht="18" customHeight="1" x14ac:dyDescent="0.25">
      <c r="A134" s="99">
        <v>9</v>
      </c>
      <c r="B134" s="100" t="s">
        <v>120</v>
      </c>
      <c r="C134" s="117">
        <v>13040</v>
      </c>
      <c r="D134" s="117">
        <v>13704</v>
      </c>
      <c r="E134" s="117">
        <f t="shared" si="18"/>
        <v>664</v>
      </c>
      <c r="F134" s="98">
        <f t="shared" si="19"/>
        <v>5.0920245398773004E-2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896</v>
      </c>
      <c r="D136" s="117">
        <v>832</v>
      </c>
      <c r="E136" s="117">
        <f t="shared" si="18"/>
        <v>-64</v>
      </c>
      <c r="F136" s="98">
        <f t="shared" si="19"/>
        <v>-7.1428571428571425E-2</v>
      </c>
    </row>
    <row r="137" spans="1:6" ht="18" customHeight="1" x14ac:dyDescent="0.25">
      <c r="A137" s="101"/>
      <c r="B137" s="102" t="s">
        <v>143</v>
      </c>
      <c r="C137" s="118">
        <f>SUM(C126:C136)</f>
        <v>382985</v>
      </c>
      <c r="D137" s="118">
        <f>SUM(D126:D136)</f>
        <v>389699</v>
      </c>
      <c r="E137" s="118">
        <f t="shared" si="18"/>
        <v>6714</v>
      </c>
      <c r="F137" s="104">
        <f t="shared" si="19"/>
        <v>1.7530712691097562E-2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17550451</v>
      </c>
      <c r="D142" s="97">
        <v>18359534</v>
      </c>
      <c r="E142" s="97">
        <f t="shared" ref="E142:E153" si="20">D142-C142</f>
        <v>809083</v>
      </c>
      <c r="F142" s="98">
        <f t="shared" ref="F142:F153" si="21">IF(C142=0,0,E142/C142)</f>
        <v>4.6100410752977231E-2</v>
      </c>
    </row>
    <row r="143" spans="1:6" ht="18" customHeight="1" x14ac:dyDescent="0.25">
      <c r="A143" s="99">
        <v>2</v>
      </c>
      <c r="B143" s="100" t="s">
        <v>113</v>
      </c>
      <c r="C143" s="97">
        <v>1965971</v>
      </c>
      <c r="D143" s="97">
        <v>2423726</v>
      </c>
      <c r="E143" s="97">
        <f t="shared" si="20"/>
        <v>457755</v>
      </c>
      <c r="F143" s="98">
        <f t="shared" si="21"/>
        <v>0.23283914157431621</v>
      </c>
    </row>
    <row r="144" spans="1:6" ht="18" customHeight="1" x14ac:dyDescent="0.25">
      <c r="A144" s="99">
        <v>3</v>
      </c>
      <c r="B144" s="100" t="s">
        <v>114</v>
      </c>
      <c r="C144" s="97">
        <v>13918040</v>
      </c>
      <c r="D144" s="97">
        <v>35650231</v>
      </c>
      <c r="E144" s="97">
        <f t="shared" si="20"/>
        <v>21732191</v>
      </c>
      <c r="F144" s="98">
        <f t="shared" si="21"/>
        <v>1.5614404758141232</v>
      </c>
    </row>
    <row r="145" spans="1:6" ht="18" customHeight="1" x14ac:dyDescent="0.25">
      <c r="A145" s="99">
        <v>4</v>
      </c>
      <c r="B145" s="100" t="s">
        <v>115</v>
      </c>
      <c r="C145" s="97">
        <v>14749904</v>
      </c>
      <c r="D145" s="97">
        <v>3914200</v>
      </c>
      <c r="E145" s="97">
        <f t="shared" si="20"/>
        <v>-10835704</v>
      </c>
      <c r="F145" s="98">
        <f t="shared" si="21"/>
        <v>-0.73462878131274623</v>
      </c>
    </row>
    <row r="146" spans="1:6" ht="18" customHeight="1" x14ac:dyDescent="0.25">
      <c r="A146" s="99">
        <v>5</v>
      </c>
      <c r="B146" s="100" t="s">
        <v>116</v>
      </c>
      <c r="C146" s="97">
        <v>2255077</v>
      </c>
      <c r="D146" s="97">
        <v>2260380</v>
      </c>
      <c r="E146" s="97">
        <f t="shared" si="20"/>
        <v>5303</v>
      </c>
      <c r="F146" s="98">
        <f t="shared" si="21"/>
        <v>2.3515826732302268E-3</v>
      </c>
    </row>
    <row r="147" spans="1:6" ht="18" customHeight="1" x14ac:dyDescent="0.25">
      <c r="A147" s="99">
        <v>6</v>
      </c>
      <c r="B147" s="100" t="s">
        <v>117</v>
      </c>
      <c r="C147" s="97">
        <v>2717199</v>
      </c>
      <c r="D147" s="97">
        <v>2953979</v>
      </c>
      <c r="E147" s="97">
        <f t="shared" si="20"/>
        <v>236780</v>
      </c>
      <c r="F147" s="98">
        <f t="shared" si="21"/>
        <v>8.7141206808923455E-2</v>
      </c>
    </row>
    <row r="148" spans="1:6" ht="18" customHeight="1" x14ac:dyDescent="0.25">
      <c r="A148" s="99">
        <v>7</v>
      </c>
      <c r="B148" s="100" t="s">
        <v>118</v>
      </c>
      <c r="C148" s="97">
        <v>29791455</v>
      </c>
      <c r="D148" s="97">
        <v>29633311</v>
      </c>
      <c r="E148" s="97">
        <f t="shared" si="20"/>
        <v>-158144</v>
      </c>
      <c r="F148" s="98">
        <f t="shared" si="21"/>
        <v>-5.3083677853263626E-3</v>
      </c>
    </row>
    <row r="149" spans="1:6" ht="18" customHeight="1" x14ac:dyDescent="0.25">
      <c r="A149" s="99">
        <v>8</v>
      </c>
      <c r="B149" s="100" t="s">
        <v>119</v>
      </c>
      <c r="C149" s="97">
        <v>1618152</v>
      </c>
      <c r="D149" s="97">
        <v>1534595</v>
      </c>
      <c r="E149" s="97">
        <f t="shared" si="20"/>
        <v>-83557</v>
      </c>
      <c r="F149" s="98">
        <f t="shared" si="21"/>
        <v>-5.1637299833390188E-2</v>
      </c>
    </row>
    <row r="150" spans="1:6" ht="18" customHeight="1" x14ac:dyDescent="0.25">
      <c r="A150" s="99">
        <v>9</v>
      </c>
      <c r="B150" s="100" t="s">
        <v>120</v>
      </c>
      <c r="C150" s="97">
        <v>6946245</v>
      </c>
      <c r="D150" s="97">
        <v>6973359</v>
      </c>
      <c r="E150" s="97">
        <f t="shared" si="20"/>
        <v>27114</v>
      </c>
      <c r="F150" s="98">
        <f t="shared" si="21"/>
        <v>3.9034039254302144E-3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853351</v>
      </c>
      <c r="D152" s="97">
        <v>323101</v>
      </c>
      <c r="E152" s="97">
        <f t="shared" si="20"/>
        <v>-530250</v>
      </c>
      <c r="F152" s="98">
        <f t="shared" si="21"/>
        <v>-0.62137385436942127</v>
      </c>
    </row>
    <row r="153" spans="1:6" ht="33.75" customHeight="1" x14ac:dyDescent="0.25">
      <c r="A153" s="101"/>
      <c r="B153" s="102" t="s">
        <v>147</v>
      </c>
      <c r="C153" s="103">
        <f>SUM(C142:C152)</f>
        <v>92365845</v>
      </c>
      <c r="D153" s="103">
        <f>SUM(D142:D152)</f>
        <v>104026416</v>
      </c>
      <c r="E153" s="103">
        <f t="shared" si="20"/>
        <v>11660571</v>
      </c>
      <c r="F153" s="104">
        <f t="shared" si="21"/>
        <v>0.12624332078594636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4349618</v>
      </c>
      <c r="D155" s="97">
        <v>4350816</v>
      </c>
      <c r="E155" s="97">
        <f t="shared" ref="E155:E166" si="22">D155-C155</f>
        <v>1198</v>
      </c>
      <c r="F155" s="98">
        <f t="shared" ref="F155:F166" si="23">IF(C155=0,0,E155/C155)</f>
        <v>2.7542648572817199E-4</v>
      </c>
    </row>
    <row r="156" spans="1:6" ht="18" customHeight="1" x14ac:dyDescent="0.25">
      <c r="A156" s="99">
        <v>2</v>
      </c>
      <c r="B156" s="100" t="s">
        <v>113</v>
      </c>
      <c r="C156" s="97">
        <v>499465</v>
      </c>
      <c r="D156" s="97">
        <v>592367</v>
      </c>
      <c r="E156" s="97">
        <f t="shared" si="22"/>
        <v>92902</v>
      </c>
      <c r="F156" s="98">
        <f t="shared" si="23"/>
        <v>0.18600302323486131</v>
      </c>
    </row>
    <row r="157" spans="1:6" ht="18" customHeight="1" x14ac:dyDescent="0.25">
      <c r="A157" s="99">
        <v>3</v>
      </c>
      <c r="B157" s="100" t="s">
        <v>114</v>
      </c>
      <c r="C157" s="97">
        <v>3096918</v>
      </c>
      <c r="D157" s="97">
        <v>6355813</v>
      </c>
      <c r="E157" s="97">
        <f t="shared" si="22"/>
        <v>3258895</v>
      </c>
      <c r="F157" s="98">
        <f t="shared" si="23"/>
        <v>1.0523026441126306</v>
      </c>
    </row>
    <row r="158" spans="1:6" ht="18" customHeight="1" x14ac:dyDescent="0.25">
      <c r="A158" s="99">
        <v>4</v>
      </c>
      <c r="B158" s="100" t="s">
        <v>115</v>
      </c>
      <c r="C158" s="97">
        <v>4108415</v>
      </c>
      <c r="D158" s="97">
        <v>1050728</v>
      </c>
      <c r="E158" s="97">
        <f t="shared" si="22"/>
        <v>-3057687</v>
      </c>
      <c r="F158" s="98">
        <f t="shared" si="23"/>
        <v>-0.7442497897607715</v>
      </c>
    </row>
    <row r="159" spans="1:6" ht="18" customHeight="1" x14ac:dyDescent="0.25">
      <c r="A159" s="99">
        <v>5</v>
      </c>
      <c r="B159" s="100" t="s">
        <v>116</v>
      </c>
      <c r="C159" s="97">
        <v>841599</v>
      </c>
      <c r="D159" s="97">
        <v>710317</v>
      </c>
      <c r="E159" s="97">
        <f t="shared" si="22"/>
        <v>-131282</v>
      </c>
      <c r="F159" s="98">
        <f t="shared" si="23"/>
        <v>-0.15599115493245597</v>
      </c>
    </row>
    <row r="160" spans="1:6" ht="18" customHeight="1" x14ac:dyDescent="0.25">
      <c r="A160" s="99">
        <v>6</v>
      </c>
      <c r="B160" s="100" t="s">
        <v>117</v>
      </c>
      <c r="C160" s="97">
        <v>2213340</v>
      </c>
      <c r="D160" s="97">
        <v>2377226</v>
      </c>
      <c r="E160" s="97">
        <f t="shared" si="22"/>
        <v>163886</v>
      </c>
      <c r="F160" s="98">
        <f t="shared" si="23"/>
        <v>7.4044656491998512E-2</v>
      </c>
    </row>
    <row r="161" spans="1:6" ht="18" customHeight="1" x14ac:dyDescent="0.25">
      <c r="A161" s="99">
        <v>7</v>
      </c>
      <c r="B161" s="100" t="s">
        <v>118</v>
      </c>
      <c r="C161" s="97">
        <v>23193904</v>
      </c>
      <c r="D161" s="97">
        <v>21857829</v>
      </c>
      <c r="E161" s="97">
        <f t="shared" si="22"/>
        <v>-1336075</v>
      </c>
      <c r="F161" s="98">
        <f t="shared" si="23"/>
        <v>-5.7604575754042958E-2</v>
      </c>
    </row>
    <row r="162" spans="1:6" ht="18" customHeight="1" x14ac:dyDescent="0.25">
      <c r="A162" s="99">
        <v>8</v>
      </c>
      <c r="B162" s="100" t="s">
        <v>119</v>
      </c>
      <c r="C162" s="97">
        <v>1276781</v>
      </c>
      <c r="D162" s="97">
        <v>1242975</v>
      </c>
      <c r="E162" s="97">
        <f t="shared" si="22"/>
        <v>-33806</v>
      </c>
      <c r="F162" s="98">
        <f t="shared" si="23"/>
        <v>-2.6477524336593356E-2</v>
      </c>
    </row>
    <row r="163" spans="1:6" ht="18" customHeight="1" x14ac:dyDescent="0.25">
      <c r="A163" s="99">
        <v>9</v>
      </c>
      <c r="B163" s="100" t="s">
        <v>120</v>
      </c>
      <c r="C163" s="97">
        <v>1639314</v>
      </c>
      <c r="D163" s="97">
        <v>1322564</v>
      </c>
      <c r="E163" s="97">
        <f t="shared" si="22"/>
        <v>-316750</v>
      </c>
      <c r="F163" s="98">
        <f t="shared" si="23"/>
        <v>-0.19322106686089424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170793</v>
      </c>
      <c r="D165" s="97">
        <v>58164</v>
      </c>
      <c r="E165" s="97">
        <f t="shared" si="22"/>
        <v>-112629</v>
      </c>
      <c r="F165" s="98">
        <f t="shared" si="23"/>
        <v>-0.65944740124009771</v>
      </c>
    </row>
    <row r="166" spans="1:6" ht="33.75" customHeight="1" x14ac:dyDescent="0.25">
      <c r="A166" s="101"/>
      <c r="B166" s="102" t="s">
        <v>149</v>
      </c>
      <c r="C166" s="103">
        <f>SUM(C155:C165)</f>
        <v>41390147</v>
      </c>
      <c r="D166" s="103">
        <f>SUM(D155:D165)</f>
        <v>39918799</v>
      </c>
      <c r="E166" s="103">
        <f t="shared" si="22"/>
        <v>-1471348</v>
      </c>
      <c r="F166" s="104">
        <f t="shared" si="23"/>
        <v>-3.5548267079119095E-2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8684</v>
      </c>
      <c r="D168" s="117">
        <v>9926</v>
      </c>
      <c r="E168" s="117">
        <f t="shared" ref="E168:E179" si="24">D168-C168</f>
        <v>1242</v>
      </c>
      <c r="F168" s="98">
        <f t="shared" ref="F168:F179" si="25">IF(C168=0,0,E168/C168)</f>
        <v>0.14302164900967296</v>
      </c>
    </row>
    <row r="169" spans="1:6" ht="18" customHeight="1" x14ac:dyDescent="0.25">
      <c r="A169" s="99">
        <v>2</v>
      </c>
      <c r="B169" s="100" t="s">
        <v>113</v>
      </c>
      <c r="C169" s="117">
        <v>875</v>
      </c>
      <c r="D169" s="117">
        <v>1018</v>
      </c>
      <c r="E169" s="117">
        <f t="shared" si="24"/>
        <v>143</v>
      </c>
      <c r="F169" s="98">
        <f t="shared" si="25"/>
        <v>0.16342857142857142</v>
      </c>
    </row>
    <row r="170" spans="1:6" ht="18" customHeight="1" x14ac:dyDescent="0.25">
      <c r="A170" s="99">
        <v>3</v>
      </c>
      <c r="B170" s="100" t="s">
        <v>114</v>
      </c>
      <c r="C170" s="117">
        <v>8701</v>
      </c>
      <c r="D170" s="117">
        <v>19976</v>
      </c>
      <c r="E170" s="117">
        <f t="shared" si="24"/>
        <v>11275</v>
      </c>
      <c r="F170" s="98">
        <f t="shared" si="25"/>
        <v>1.2958280657395702</v>
      </c>
    </row>
    <row r="171" spans="1:6" ht="18" customHeight="1" x14ac:dyDescent="0.25">
      <c r="A171" s="99">
        <v>4</v>
      </c>
      <c r="B171" s="100" t="s">
        <v>115</v>
      </c>
      <c r="C171" s="117">
        <v>11713</v>
      </c>
      <c r="D171" s="117">
        <v>2939</v>
      </c>
      <c r="E171" s="117">
        <f t="shared" si="24"/>
        <v>-8774</v>
      </c>
      <c r="F171" s="98">
        <f t="shared" si="25"/>
        <v>-0.74908221634081784</v>
      </c>
    </row>
    <row r="172" spans="1:6" ht="18" customHeight="1" x14ac:dyDescent="0.25">
      <c r="A172" s="99">
        <v>5</v>
      </c>
      <c r="B172" s="100" t="s">
        <v>116</v>
      </c>
      <c r="C172" s="117">
        <v>1569</v>
      </c>
      <c r="D172" s="117">
        <v>1534</v>
      </c>
      <c r="E172" s="117">
        <f t="shared" si="24"/>
        <v>-35</v>
      </c>
      <c r="F172" s="98">
        <f t="shared" si="25"/>
        <v>-2.2307202039515615E-2</v>
      </c>
    </row>
    <row r="173" spans="1:6" ht="18" customHeight="1" x14ac:dyDescent="0.25">
      <c r="A173" s="99">
        <v>6</v>
      </c>
      <c r="B173" s="100" t="s">
        <v>117</v>
      </c>
      <c r="C173" s="117">
        <v>1378</v>
      </c>
      <c r="D173" s="117">
        <v>1586</v>
      </c>
      <c r="E173" s="117">
        <f t="shared" si="24"/>
        <v>208</v>
      </c>
      <c r="F173" s="98">
        <f t="shared" si="25"/>
        <v>0.15094339622641509</v>
      </c>
    </row>
    <row r="174" spans="1:6" ht="18" customHeight="1" x14ac:dyDescent="0.25">
      <c r="A174" s="99">
        <v>7</v>
      </c>
      <c r="B174" s="100" t="s">
        <v>118</v>
      </c>
      <c r="C174" s="117">
        <v>17078</v>
      </c>
      <c r="D174" s="117">
        <v>17327</v>
      </c>
      <c r="E174" s="117">
        <f t="shared" si="24"/>
        <v>249</v>
      </c>
      <c r="F174" s="98">
        <f t="shared" si="25"/>
        <v>1.458016161142991E-2</v>
      </c>
    </row>
    <row r="175" spans="1:6" ht="18" customHeight="1" x14ac:dyDescent="0.25">
      <c r="A175" s="99">
        <v>8</v>
      </c>
      <c r="B175" s="100" t="s">
        <v>119</v>
      </c>
      <c r="C175" s="117">
        <v>1133</v>
      </c>
      <c r="D175" s="117">
        <v>1161</v>
      </c>
      <c r="E175" s="117">
        <f t="shared" si="24"/>
        <v>28</v>
      </c>
      <c r="F175" s="98">
        <f t="shared" si="25"/>
        <v>2.4713150926743161E-2</v>
      </c>
    </row>
    <row r="176" spans="1:6" ht="18" customHeight="1" x14ac:dyDescent="0.25">
      <c r="A176" s="99">
        <v>9</v>
      </c>
      <c r="B176" s="100" t="s">
        <v>120</v>
      </c>
      <c r="C176" s="117">
        <v>4773</v>
      </c>
      <c r="D176" s="117">
        <v>4799</v>
      </c>
      <c r="E176" s="117">
        <f t="shared" si="24"/>
        <v>26</v>
      </c>
      <c r="F176" s="98">
        <f t="shared" si="25"/>
        <v>5.4473077728891687E-3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448</v>
      </c>
      <c r="D178" s="117">
        <v>472</v>
      </c>
      <c r="E178" s="117">
        <f t="shared" si="24"/>
        <v>24</v>
      </c>
      <c r="F178" s="98">
        <f t="shared" si="25"/>
        <v>5.3571428571428568E-2</v>
      </c>
    </row>
    <row r="179" spans="1:6" ht="33.75" customHeight="1" x14ac:dyDescent="0.25">
      <c r="A179" s="101"/>
      <c r="B179" s="102" t="s">
        <v>151</v>
      </c>
      <c r="C179" s="118">
        <f>SUM(C168:C178)</f>
        <v>56352</v>
      </c>
      <c r="D179" s="118">
        <f>SUM(D168:D178)</f>
        <v>60738</v>
      </c>
      <c r="E179" s="118">
        <f t="shared" si="24"/>
        <v>4386</v>
      </c>
      <c r="F179" s="104">
        <f t="shared" si="25"/>
        <v>7.783219761499148E-2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r:id="rId1"/>
  <headerFooter>
    <oddHeader>&amp;LOFFICE OF HEALTH CARE ACCESS&amp;CTWELVE MONTHS ACTUAL FILING&amp;RWILLIAM W. BACKUS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39914015</v>
      </c>
      <c r="D15" s="146">
        <v>41141324</v>
      </c>
      <c r="E15" s="146">
        <f>+D15-C15</f>
        <v>1227309</v>
      </c>
      <c r="F15" s="150">
        <f>IF(C15=0,0,E15/C15)</f>
        <v>3.074882343958632E-2</v>
      </c>
    </row>
    <row r="16" spans="1:7" ht="15" customHeight="1" x14ac:dyDescent="0.2">
      <c r="A16" s="141">
        <v>2</v>
      </c>
      <c r="B16" s="149" t="s">
        <v>158</v>
      </c>
      <c r="C16" s="146">
        <v>11095920</v>
      </c>
      <c r="D16" s="146">
        <v>10294416</v>
      </c>
      <c r="E16" s="146">
        <f>+D16-C16</f>
        <v>-801504</v>
      </c>
      <c r="F16" s="150">
        <f>IF(C16=0,0,E16/C16)</f>
        <v>-7.2234118486795146E-2</v>
      </c>
    </row>
    <row r="17" spans="1:7" ht="15" customHeight="1" x14ac:dyDescent="0.2">
      <c r="A17" s="141">
        <v>3</v>
      </c>
      <c r="B17" s="149" t="s">
        <v>159</v>
      </c>
      <c r="C17" s="146">
        <v>57392944</v>
      </c>
      <c r="D17" s="146">
        <v>60931073</v>
      </c>
      <c r="E17" s="146">
        <f>+D17-C17</f>
        <v>3538129</v>
      </c>
      <c r="F17" s="150">
        <f>IF(C17=0,0,E17/C17)</f>
        <v>6.1647456175100548E-2</v>
      </c>
    </row>
    <row r="18" spans="1:7" ht="15.75" customHeight="1" x14ac:dyDescent="0.25">
      <c r="A18" s="141"/>
      <c r="B18" s="151" t="s">
        <v>160</v>
      </c>
      <c r="C18" s="147">
        <f>SUM(C15:C17)</f>
        <v>108402879</v>
      </c>
      <c r="D18" s="147">
        <f>SUM(D15:D17)</f>
        <v>112366813</v>
      </c>
      <c r="E18" s="147">
        <f>+D18-C18</f>
        <v>3963934</v>
      </c>
      <c r="F18" s="148">
        <f>IF(C18=0,0,E18/C18)</f>
        <v>3.6566685650479817E-2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7696604</v>
      </c>
      <c r="D21" s="146">
        <v>9543566</v>
      </c>
      <c r="E21" s="146">
        <f>+D21-C21</f>
        <v>1846962</v>
      </c>
      <c r="F21" s="150">
        <f>IF(C21=0,0,E21/C21)</f>
        <v>0.23997103137955389</v>
      </c>
    </row>
    <row r="22" spans="1:7" ht="15" customHeight="1" x14ac:dyDescent="0.2">
      <c r="A22" s="141">
        <v>2</v>
      </c>
      <c r="B22" s="149" t="s">
        <v>163</v>
      </c>
      <c r="C22" s="146">
        <v>1266332</v>
      </c>
      <c r="D22" s="146">
        <v>1260567</v>
      </c>
      <c r="E22" s="146">
        <f>+D22-C22</f>
        <v>-5765</v>
      </c>
      <c r="F22" s="150">
        <f>IF(C22=0,0,E22/C22)</f>
        <v>-4.5525186128124381E-3</v>
      </c>
    </row>
    <row r="23" spans="1:7" ht="15" customHeight="1" x14ac:dyDescent="0.2">
      <c r="A23" s="141">
        <v>3</v>
      </c>
      <c r="B23" s="149" t="s">
        <v>164</v>
      </c>
      <c r="C23" s="146">
        <v>16692410</v>
      </c>
      <c r="D23" s="146">
        <v>21204157</v>
      </c>
      <c r="E23" s="146">
        <f>+D23-C23</f>
        <v>4511747</v>
      </c>
      <c r="F23" s="150">
        <f>IF(C23=0,0,E23/C23)</f>
        <v>0.27028733418362</v>
      </c>
    </row>
    <row r="24" spans="1:7" ht="15.75" customHeight="1" x14ac:dyDescent="0.25">
      <c r="A24" s="141"/>
      <c r="B24" s="151" t="s">
        <v>165</v>
      </c>
      <c r="C24" s="147">
        <f>SUM(C21:C23)</f>
        <v>25655346</v>
      </c>
      <c r="D24" s="147">
        <f>SUM(D21:D23)</f>
        <v>32008290</v>
      </c>
      <c r="E24" s="147">
        <f>+D24-C24</f>
        <v>6352944</v>
      </c>
      <c r="F24" s="148">
        <f>IF(C24=0,0,E24/C24)</f>
        <v>0.247626518075414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947879</v>
      </c>
      <c r="D27" s="146">
        <v>1634865</v>
      </c>
      <c r="E27" s="146">
        <f>+D27-C27</f>
        <v>686986</v>
      </c>
      <c r="F27" s="150">
        <f>IF(C27=0,0,E27/C27)</f>
        <v>0.72476128282196361</v>
      </c>
    </row>
    <row r="28" spans="1:7" ht="15" customHeight="1" x14ac:dyDescent="0.2">
      <c r="A28" s="141">
        <v>2</v>
      </c>
      <c r="B28" s="149" t="s">
        <v>168</v>
      </c>
      <c r="C28" s="146">
        <v>1766978</v>
      </c>
      <c r="D28" s="146">
        <v>1773524</v>
      </c>
      <c r="E28" s="146">
        <f>+D28-C28</f>
        <v>6546</v>
      </c>
      <c r="F28" s="150">
        <f>IF(C28=0,0,E28/C28)</f>
        <v>3.7046301651746656E-3</v>
      </c>
    </row>
    <row r="29" spans="1:7" ht="15" customHeight="1" x14ac:dyDescent="0.2">
      <c r="A29" s="141">
        <v>3</v>
      </c>
      <c r="B29" s="149" t="s">
        <v>169</v>
      </c>
      <c r="C29" s="146">
        <v>3605001</v>
      </c>
      <c r="D29" s="146">
        <v>6489941</v>
      </c>
      <c r="E29" s="146">
        <f>+D29-C29</f>
        <v>2884940</v>
      </c>
      <c r="F29" s="150">
        <f>IF(C29=0,0,E29/C29)</f>
        <v>0.80026052697350158</v>
      </c>
    </row>
    <row r="30" spans="1:7" ht="15.75" customHeight="1" x14ac:dyDescent="0.25">
      <c r="A30" s="141"/>
      <c r="B30" s="151" t="s">
        <v>170</v>
      </c>
      <c r="C30" s="147">
        <f>SUM(C27:C29)</f>
        <v>6319858</v>
      </c>
      <c r="D30" s="147">
        <f>SUM(D27:D29)</f>
        <v>9898330</v>
      </c>
      <c r="E30" s="147">
        <f>+D30-C30</f>
        <v>3578472</v>
      </c>
      <c r="F30" s="148">
        <f>IF(C30=0,0,E30/C30)</f>
        <v>0.56622664623160834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30858845</v>
      </c>
      <c r="D33" s="146">
        <v>24766385</v>
      </c>
      <c r="E33" s="146">
        <f>+D33-C33</f>
        <v>-6092460</v>
      </c>
      <c r="F33" s="150">
        <f>IF(C33=0,0,E33/C33)</f>
        <v>-0.19742994269552214</v>
      </c>
    </row>
    <row r="34" spans="1:7" ht="15" customHeight="1" x14ac:dyDescent="0.2">
      <c r="A34" s="141">
        <v>2</v>
      </c>
      <c r="B34" s="149" t="s">
        <v>174</v>
      </c>
      <c r="C34" s="146">
        <v>10729579</v>
      </c>
      <c r="D34" s="146">
        <v>12139873</v>
      </c>
      <c r="E34" s="146">
        <f>+D34-C34</f>
        <v>1410294</v>
      </c>
      <c r="F34" s="150">
        <f>IF(C34=0,0,E34/C34)</f>
        <v>0.13143982629700568</v>
      </c>
    </row>
    <row r="35" spans="1:7" ht="15.75" customHeight="1" x14ac:dyDescent="0.25">
      <c r="A35" s="141"/>
      <c r="B35" s="151" t="s">
        <v>175</v>
      </c>
      <c r="C35" s="147">
        <f>SUM(C33:C34)</f>
        <v>41588424</v>
      </c>
      <c r="D35" s="147">
        <f>SUM(D33:D34)</f>
        <v>36906258</v>
      </c>
      <c r="E35" s="147">
        <f>+D35-C35</f>
        <v>-4682166</v>
      </c>
      <c r="F35" s="148">
        <f>IF(C35=0,0,E35/C35)</f>
        <v>-0.11258339580263969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8840289</v>
      </c>
      <c r="D38" s="146">
        <v>9033362</v>
      </c>
      <c r="E38" s="146">
        <f>+D38-C38</f>
        <v>193073</v>
      </c>
      <c r="F38" s="150">
        <f>IF(C38=0,0,E38/C38)</f>
        <v>2.1840123100047973E-2</v>
      </c>
    </row>
    <row r="39" spans="1:7" ht="15" customHeight="1" x14ac:dyDescent="0.2">
      <c r="A39" s="141">
        <v>2</v>
      </c>
      <c r="B39" s="149" t="s">
        <v>179</v>
      </c>
      <c r="C39" s="146">
        <v>8039864</v>
      </c>
      <c r="D39" s="146">
        <v>8885262</v>
      </c>
      <c r="E39" s="146">
        <f>+D39-C39</f>
        <v>845398</v>
      </c>
      <c r="F39" s="150">
        <f>IF(C39=0,0,E39/C39)</f>
        <v>0.10515078364509649</v>
      </c>
    </row>
    <row r="40" spans="1:7" ht="15" customHeight="1" x14ac:dyDescent="0.2">
      <c r="A40" s="141">
        <v>3</v>
      </c>
      <c r="B40" s="149" t="s">
        <v>180</v>
      </c>
      <c r="C40" s="146">
        <v>91034</v>
      </c>
      <c r="D40" s="146">
        <v>87571</v>
      </c>
      <c r="E40" s="146">
        <f>+D40-C40</f>
        <v>-3463</v>
      </c>
      <c r="F40" s="150">
        <f>IF(C40=0,0,E40/C40)</f>
        <v>-3.8040732034185031E-2</v>
      </c>
    </row>
    <row r="41" spans="1:7" ht="15.75" customHeight="1" x14ac:dyDescent="0.25">
      <c r="A41" s="141"/>
      <c r="B41" s="151" t="s">
        <v>181</v>
      </c>
      <c r="C41" s="147">
        <f>SUM(C38:C40)</f>
        <v>16971187</v>
      </c>
      <c r="D41" s="147">
        <f>SUM(D38:D40)</f>
        <v>18006195</v>
      </c>
      <c r="E41" s="147">
        <f>+D41-C41</f>
        <v>1035008</v>
      </c>
      <c r="F41" s="148">
        <f>IF(C41=0,0,E41/C41)</f>
        <v>6.0986187943129731E-2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12522978</v>
      </c>
      <c r="D44" s="146">
        <v>7949694</v>
      </c>
      <c r="E44" s="146">
        <f>+D44-C44</f>
        <v>-4573284</v>
      </c>
      <c r="F44" s="150">
        <f>IF(C44=0,0,E44/C44)</f>
        <v>-0.36519141054148624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3247715</v>
      </c>
      <c r="D47" s="146">
        <v>3276169</v>
      </c>
      <c r="E47" s="146">
        <f>+D47-C47</f>
        <v>28454</v>
      </c>
      <c r="F47" s="150">
        <f>IF(C47=0,0,E47/C47)</f>
        <v>8.7612367464509656E-3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1344246</v>
      </c>
      <c r="D50" s="146">
        <v>1295901</v>
      </c>
      <c r="E50" s="146">
        <f>+D50-C50</f>
        <v>-48345</v>
      </c>
      <c r="F50" s="150">
        <f>IF(C50=0,0,E50/C50)</f>
        <v>-3.5964399373328987E-2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270390</v>
      </c>
      <c r="D53" s="146">
        <v>263657</v>
      </c>
      <c r="E53" s="146">
        <f t="shared" ref="E53:E59" si="0">+D53-C53</f>
        <v>-6733</v>
      </c>
      <c r="F53" s="150">
        <f t="shared" ref="F53:F59" si="1">IF(C53=0,0,E53/C53)</f>
        <v>-2.4901068826509856E-2</v>
      </c>
    </row>
    <row r="54" spans="1:7" ht="15" customHeight="1" x14ac:dyDescent="0.2">
      <c r="A54" s="141">
        <v>2</v>
      </c>
      <c r="B54" s="149" t="s">
        <v>193</v>
      </c>
      <c r="C54" s="146">
        <v>1325484</v>
      </c>
      <c r="D54" s="146">
        <v>1204425</v>
      </c>
      <c r="E54" s="146">
        <f t="shared" si="0"/>
        <v>-121059</v>
      </c>
      <c r="F54" s="150">
        <f t="shared" si="1"/>
        <v>-9.1331921019039086E-2</v>
      </c>
    </row>
    <row r="55" spans="1:7" ht="15" customHeight="1" x14ac:dyDescent="0.2">
      <c r="A55" s="141">
        <v>3</v>
      </c>
      <c r="B55" s="149" t="s">
        <v>194</v>
      </c>
      <c r="C55" s="146">
        <v>42600</v>
      </c>
      <c r="D55" s="146">
        <v>40302</v>
      </c>
      <c r="E55" s="146">
        <f t="shared" si="0"/>
        <v>-2298</v>
      </c>
      <c r="F55" s="150">
        <f t="shared" si="1"/>
        <v>-5.3943661971830988E-2</v>
      </c>
    </row>
    <row r="56" spans="1:7" ht="15" customHeight="1" x14ac:dyDescent="0.2">
      <c r="A56" s="141">
        <v>4</v>
      </c>
      <c r="B56" s="149" t="s">
        <v>195</v>
      </c>
      <c r="C56" s="146">
        <v>2983942</v>
      </c>
      <c r="D56" s="146">
        <v>3092082</v>
      </c>
      <c r="E56" s="146">
        <f t="shared" si="0"/>
        <v>108140</v>
      </c>
      <c r="F56" s="150">
        <f t="shared" si="1"/>
        <v>3.6240650790129302E-2</v>
      </c>
    </row>
    <row r="57" spans="1:7" ht="15" customHeight="1" x14ac:dyDescent="0.2">
      <c r="A57" s="141">
        <v>5</v>
      </c>
      <c r="B57" s="149" t="s">
        <v>196</v>
      </c>
      <c r="C57" s="146">
        <v>483724</v>
      </c>
      <c r="D57" s="146">
        <v>456335</v>
      </c>
      <c r="E57" s="146">
        <f t="shared" si="0"/>
        <v>-27389</v>
      </c>
      <c r="F57" s="150">
        <f t="shared" si="1"/>
        <v>-5.6621131058206743E-2</v>
      </c>
    </row>
    <row r="58" spans="1:7" ht="15" customHeight="1" x14ac:dyDescent="0.2">
      <c r="A58" s="141">
        <v>6</v>
      </c>
      <c r="B58" s="149" t="s">
        <v>197</v>
      </c>
      <c r="C58" s="146">
        <v>39471</v>
      </c>
      <c r="D58" s="146">
        <v>50268</v>
      </c>
      <c r="E58" s="146">
        <f t="shared" si="0"/>
        <v>10797</v>
      </c>
      <c r="F58" s="150">
        <f t="shared" si="1"/>
        <v>0.273542600896861</v>
      </c>
    </row>
    <row r="59" spans="1:7" ht="15.75" customHeight="1" x14ac:dyDescent="0.25">
      <c r="A59" s="141"/>
      <c r="B59" s="151" t="s">
        <v>198</v>
      </c>
      <c r="C59" s="147">
        <f>SUM(C53:C58)</f>
        <v>5145611</v>
      </c>
      <c r="D59" s="147">
        <f>SUM(D53:D58)</f>
        <v>5107069</v>
      </c>
      <c r="E59" s="147">
        <f t="shared" si="0"/>
        <v>-38542</v>
      </c>
      <c r="F59" s="148">
        <f t="shared" si="1"/>
        <v>-7.4902669478901533E-3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158170</v>
      </c>
      <c r="D62" s="146">
        <v>415616</v>
      </c>
      <c r="E62" s="146">
        <f t="shared" ref="E62:E90" si="2">+D62-C62</f>
        <v>257446</v>
      </c>
      <c r="F62" s="150">
        <f t="shared" ref="F62:F90" si="3">IF(C62=0,0,E62/C62)</f>
        <v>1.6276537902257064</v>
      </c>
    </row>
    <row r="63" spans="1:7" ht="15" customHeight="1" x14ac:dyDescent="0.2">
      <c r="A63" s="141">
        <v>2</v>
      </c>
      <c r="B63" s="149" t="s">
        <v>202</v>
      </c>
      <c r="C63" s="146">
        <v>972377</v>
      </c>
      <c r="D63" s="146">
        <v>2172228</v>
      </c>
      <c r="E63" s="146">
        <f t="shared" si="2"/>
        <v>1199851</v>
      </c>
      <c r="F63" s="150">
        <f t="shared" si="3"/>
        <v>1.2339360145293441</v>
      </c>
    </row>
    <row r="64" spans="1:7" ht="15" customHeight="1" x14ac:dyDescent="0.2">
      <c r="A64" s="141">
        <v>3</v>
      </c>
      <c r="B64" s="149" t="s">
        <v>203</v>
      </c>
      <c r="C64" s="146">
        <v>3750121</v>
      </c>
      <c r="D64" s="146">
        <v>3622311</v>
      </c>
      <c r="E64" s="146">
        <f t="shared" si="2"/>
        <v>-127810</v>
      </c>
      <c r="F64" s="150">
        <f t="shared" si="3"/>
        <v>-3.4081566968105832E-2</v>
      </c>
    </row>
    <row r="65" spans="1:6" ht="15" customHeight="1" x14ac:dyDescent="0.2">
      <c r="A65" s="141">
        <v>4</v>
      </c>
      <c r="B65" s="149" t="s">
        <v>204</v>
      </c>
      <c r="C65" s="146">
        <v>1069580</v>
      </c>
      <c r="D65" s="146">
        <v>946280</v>
      </c>
      <c r="E65" s="146">
        <f t="shared" si="2"/>
        <v>-123300</v>
      </c>
      <c r="F65" s="150">
        <f t="shared" si="3"/>
        <v>-0.11527889451934405</v>
      </c>
    </row>
    <row r="66" spans="1:6" ht="15" customHeight="1" x14ac:dyDescent="0.2">
      <c r="A66" s="141">
        <v>5</v>
      </c>
      <c r="B66" s="149" t="s">
        <v>205</v>
      </c>
      <c r="C66" s="146">
        <v>362177</v>
      </c>
      <c r="D66" s="146">
        <v>270042</v>
      </c>
      <c r="E66" s="146">
        <f t="shared" si="2"/>
        <v>-92135</v>
      </c>
      <c r="F66" s="150">
        <f t="shared" si="3"/>
        <v>-0.25439218945432757</v>
      </c>
    </row>
    <row r="67" spans="1:6" ht="15" customHeight="1" x14ac:dyDescent="0.2">
      <c r="A67" s="141">
        <v>6</v>
      </c>
      <c r="B67" s="149" t="s">
        <v>206</v>
      </c>
      <c r="C67" s="146">
        <v>961720</v>
      </c>
      <c r="D67" s="146">
        <v>1080500</v>
      </c>
      <c r="E67" s="146">
        <f t="shared" si="2"/>
        <v>118780</v>
      </c>
      <c r="F67" s="150">
        <f t="shared" si="3"/>
        <v>0.12350788171193279</v>
      </c>
    </row>
    <row r="68" spans="1:6" ht="15" customHeight="1" x14ac:dyDescent="0.2">
      <c r="A68" s="141">
        <v>7</v>
      </c>
      <c r="B68" s="149" t="s">
        <v>207</v>
      </c>
      <c r="C68" s="146">
        <v>1091451</v>
      </c>
      <c r="D68" s="146">
        <v>1377016</v>
      </c>
      <c r="E68" s="146">
        <f t="shared" si="2"/>
        <v>285565</v>
      </c>
      <c r="F68" s="150">
        <f t="shared" si="3"/>
        <v>0.26163794801598972</v>
      </c>
    </row>
    <row r="69" spans="1:6" ht="15" customHeight="1" x14ac:dyDescent="0.2">
      <c r="A69" s="141">
        <v>8</v>
      </c>
      <c r="B69" s="149" t="s">
        <v>208</v>
      </c>
      <c r="C69" s="146">
        <v>534189</v>
      </c>
      <c r="D69" s="146">
        <v>359778</v>
      </c>
      <c r="E69" s="146">
        <f t="shared" si="2"/>
        <v>-174411</v>
      </c>
      <c r="F69" s="150">
        <f t="shared" si="3"/>
        <v>-0.32649680169378253</v>
      </c>
    </row>
    <row r="70" spans="1:6" ht="15" customHeight="1" x14ac:dyDescent="0.2">
      <c r="A70" s="141">
        <v>9</v>
      </c>
      <c r="B70" s="149" t="s">
        <v>209</v>
      </c>
      <c r="C70" s="146">
        <v>110680</v>
      </c>
      <c r="D70" s="146">
        <v>83857</v>
      </c>
      <c r="E70" s="146">
        <f t="shared" si="2"/>
        <v>-26823</v>
      </c>
      <c r="F70" s="150">
        <f t="shared" si="3"/>
        <v>-0.24234730755330683</v>
      </c>
    </row>
    <row r="71" spans="1:6" ht="15" customHeight="1" x14ac:dyDescent="0.2">
      <c r="A71" s="141">
        <v>10</v>
      </c>
      <c r="B71" s="149" t="s">
        <v>210</v>
      </c>
      <c r="C71" s="146">
        <v>369607</v>
      </c>
      <c r="D71" s="146">
        <v>319627</v>
      </c>
      <c r="E71" s="146">
        <f t="shared" si="2"/>
        <v>-49980</v>
      </c>
      <c r="F71" s="150">
        <f t="shared" si="3"/>
        <v>-0.13522471165318839</v>
      </c>
    </row>
    <row r="72" spans="1:6" ht="15" customHeight="1" x14ac:dyDescent="0.2">
      <c r="A72" s="141">
        <v>11</v>
      </c>
      <c r="B72" s="149" t="s">
        <v>211</v>
      </c>
      <c r="C72" s="146">
        <v>135241</v>
      </c>
      <c r="D72" s="146">
        <v>107279</v>
      </c>
      <c r="E72" s="146">
        <f t="shared" si="2"/>
        <v>-27962</v>
      </c>
      <c r="F72" s="150">
        <f t="shared" si="3"/>
        <v>-0.20675682670196169</v>
      </c>
    </row>
    <row r="73" spans="1:6" ht="15" customHeight="1" x14ac:dyDescent="0.2">
      <c r="A73" s="141">
        <v>12</v>
      </c>
      <c r="B73" s="149" t="s">
        <v>212</v>
      </c>
      <c r="C73" s="146">
        <v>2046634</v>
      </c>
      <c r="D73" s="146">
        <v>1420335</v>
      </c>
      <c r="E73" s="146">
        <f t="shared" si="2"/>
        <v>-626299</v>
      </c>
      <c r="F73" s="150">
        <f t="shared" si="3"/>
        <v>-0.30601416765283873</v>
      </c>
    </row>
    <row r="74" spans="1:6" ht="15" customHeight="1" x14ac:dyDescent="0.2">
      <c r="A74" s="141">
        <v>13</v>
      </c>
      <c r="B74" s="149" t="s">
        <v>213</v>
      </c>
      <c r="C74" s="146">
        <v>68833</v>
      </c>
      <c r="D74" s="146">
        <v>95919</v>
      </c>
      <c r="E74" s="146">
        <f t="shared" si="2"/>
        <v>27086</v>
      </c>
      <c r="F74" s="150">
        <f t="shared" si="3"/>
        <v>0.39350311623785106</v>
      </c>
    </row>
    <row r="75" spans="1:6" ht="15" customHeight="1" x14ac:dyDescent="0.2">
      <c r="A75" s="141">
        <v>14</v>
      </c>
      <c r="B75" s="149" t="s">
        <v>214</v>
      </c>
      <c r="C75" s="146">
        <v>749678</v>
      </c>
      <c r="D75" s="146">
        <v>791416</v>
      </c>
      <c r="E75" s="146">
        <f t="shared" si="2"/>
        <v>41738</v>
      </c>
      <c r="F75" s="150">
        <f t="shared" si="3"/>
        <v>5.5674569615221471E-2</v>
      </c>
    </row>
    <row r="76" spans="1:6" ht="15" customHeight="1" x14ac:dyDescent="0.2">
      <c r="A76" s="141">
        <v>15</v>
      </c>
      <c r="B76" s="149" t="s">
        <v>215</v>
      </c>
      <c r="C76" s="146">
        <v>194970</v>
      </c>
      <c r="D76" s="146">
        <v>188256</v>
      </c>
      <c r="E76" s="146">
        <f t="shared" si="2"/>
        <v>-6714</v>
      </c>
      <c r="F76" s="150">
        <f t="shared" si="3"/>
        <v>-3.4436067087244192E-2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2872875</v>
      </c>
      <c r="E78" s="146">
        <f t="shared" si="2"/>
        <v>2872875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672866</v>
      </c>
      <c r="E79" s="146">
        <f t="shared" si="2"/>
        <v>672866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1552537</v>
      </c>
      <c r="E80" s="146">
        <f t="shared" si="2"/>
        <v>1552537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3894164</v>
      </c>
      <c r="E81" s="146">
        <f t="shared" si="2"/>
        <v>3894164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103090</v>
      </c>
      <c r="E82" s="146">
        <f t="shared" si="2"/>
        <v>103090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544055</v>
      </c>
      <c r="E83" s="146">
        <f t="shared" si="2"/>
        <v>544055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894106</v>
      </c>
      <c r="E84" s="146">
        <f t="shared" si="2"/>
        <v>894106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230533</v>
      </c>
      <c r="E86" s="146">
        <f t="shared" si="2"/>
        <v>230533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3596645</v>
      </c>
      <c r="E87" s="146">
        <f t="shared" si="2"/>
        <v>3596645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4871600</v>
      </c>
      <c r="E88" s="146">
        <f t="shared" si="2"/>
        <v>4871600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18300063</v>
      </c>
      <c r="D89" s="146">
        <v>4814081</v>
      </c>
      <c r="E89" s="146">
        <f t="shared" si="2"/>
        <v>-13485982</v>
      </c>
      <c r="F89" s="150">
        <f t="shared" si="3"/>
        <v>-0.73693637010976409</v>
      </c>
    </row>
    <row r="90" spans="1:7" ht="15.75" customHeight="1" x14ac:dyDescent="0.25">
      <c r="A90" s="141"/>
      <c r="B90" s="151" t="s">
        <v>229</v>
      </c>
      <c r="C90" s="147">
        <f>SUM(C62:C89)</f>
        <v>30875491</v>
      </c>
      <c r="D90" s="147">
        <f>SUM(D62:D89)</f>
        <v>37297012</v>
      </c>
      <c r="E90" s="147">
        <f t="shared" si="2"/>
        <v>6421521</v>
      </c>
      <c r="F90" s="148">
        <f t="shared" si="3"/>
        <v>0.20798117833980356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0</v>
      </c>
      <c r="D93" s="146">
        <v>0</v>
      </c>
      <c r="E93" s="146">
        <f>+D93-C93</f>
        <v>0</v>
      </c>
      <c r="F93" s="150">
        <f>IF(C93=0,0,E93/C93)</f>
        <v>0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252073735</v>
      </c>
      <c r="D95" s="147">
        <f>+D93+D90+D59+D50+D47+D44+D41+D35+D30+D24+D18</f>
        <v>264111731</v>
      </c>
      <c r="E95" s="147">
        <f>+D95-C95</f>
        <v>12037996</v>
      </c>
      <c r="F95" s="148">
        <f>IF(C95=0,0,E95/C95)</f>
        <v>4.7755852072410482E-2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45092393</v>
      </c>
      <c r="D103" s="146">
        <v>44684977</v>
      </c>
      <c r="E103" s="146">
        <f t="shared" ref="E103:E121" si="4">D103-C103</f>
        <v>-407416</v>
      </c>
      <c r="F103" s="150">
        <f t="shared" ref="F103:F121" si="5">IF(C103=0,0,E103/C103)</f>
        <v>-9.0351381440324091E-3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1220190</v>
      </c>
      <c r="D104" s="146">
        <v>1285799</v>
      </c>
      <c r="E104" s="146">
        <f t="shared" si="4"/>
        <v>65609</v>
      </c>
      <c r="F104" s="150">
        <f t="shared" si="5"/>
        <v>5.3769494914726393E-2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2773551</v>
      </c>
      <c r="D105" s="146">
        <v>2777119</v>
      </c>
      <c r="E105" s="146">
        <f t="shared" si="4"/>
        <v>3568</v>
      </c>
      <c r="F105" s="150">
        <f t="shared" si="5"/>
        <v>1.2864374947495105E-3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2768080</v>
      </c>
      <c r="D106" s="146">
        <v>2859442</v>
      </c>
      <c r="E106" s="146">
        <f t="shared" si="4"/>
        <v>91362</v>
      </c>
      <c r="F106" s="150">
        <f t="shared" si="5"/>
        <v>3.3005548972573046E-2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8908110</v>
      </c>
      <c r="D107" s="146">
        <v>11164937</v>
      </c>
      <c r="E107" s="146">
        <f t="shared" si="4"/>
        <v>2256827</v>
      </c>
      <c r="F107" s="150">
        <f t="shared" si="5"/>
        <v>0.25334521015119932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227608</v>
      </c>
      <c r="D108" s="146">
        <v>0</v>
      </c>
      <c r="E108" s="146">
        <f t="shared" si="4"/>
        <v>-227608</v>
      </c>
      <c r="F108" s="150">
        <f t="shared" si="5"/>
        <v>-1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30500666</v>
      </c>
      <c r="D109" s="146">
        <v>36113016</v>
      </c>
      <c r="E109" s="146">
        <f t="shared" si="4"/>
        <v>5612350</v>
      </c>
      <c r="F109" s="150">
        <f t="shared" si="5"/>
        <v>0.18400745741092997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1217313</v>
      </c>
      <c r="D110" s="146">
        <v>1711598</v>
      </c>
      <c r="E110" s="146">
        <f t="shared" si="4"/>
        <v>494285</v>
      </c>
      <c r="F110" s="150">
        <f t="shared" si="5"/>
        <v>0.40604593888342605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985191</v>
      </c>
      <c r="D111" s="146">
        <v>1130504</v>
      </c>
      <c r="E111" s="146">
        <f t="shared" si="4"/>
        <v>145313</v>
      </c>
      <c r="F111" s="150">
        <f t="shared" si="5"/>
        <v>0.14749728732804096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3243831</v>
      </c>
      <c r="D112" s="146">
        <v>3453659</v>
      </c>
      <c r="E112" s="146">
        <f t="shared" si="4"/>
        <v>209828</v>
      </c>
      <c r="F112" s="150">
        <f t="shared" si="5"/>
        <v>6.4685244083307669E-2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2593379</v>
      </c>
      <c r="D113" s="146">
        <v>2838619</v>
      </c>
      <c r="E113" s="146">
        <f t="shared" si="4"/>
        <v>245240</v>
      </c>
      <c r="F113" s="150">
        <f t="shared" si="5"/>
        <v>9.4563887499667418E-2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131283</v>
      </c>
      <c r="D114" s="146">
        <v>187844</v>
      </c>
      <c r="E114" s="146">
        <f t="shared" si="4"/>
        <v>56561</v>
      </c>
      <c r="F114" s="150">
        <f t="shared" si="5"/>
        <v>0.4308326287485813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6025261</v>
      </c>
      <c r="D115" s="146">
        <v>4724281</v>
      </c>
      <c r="E115" s="146">
        <f t="shared" si="4"/>
        <v>-1300980</v>
      </c>
      <c r="F115" s="150">
        <f t="shared" si="5"/>
        <v>-0.21592093686895888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1278567</v>
      </c>
      <c r="D116" s="146">
        <v>1591264</v>
      </c>
      <c r="E116" s="146">
        <f t="shared" si="4"/>
        <v>312697</v>
      </c>
      <c r="F116" s="150">
        <f t="shared" si="5"/>
        <v>0.24456833314171256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2240585</v>
      </c>
      <c r="D117" s="146">
        <v>2549087</v>
      </c>
      <c r="E117" s="146">
        <f t="shared" si="4"/>
        <v>308502</v>
      </c>
      <c r="F117" s="150">
        <f t="shared" si="5"/>
        <v>0.13768814840767032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1605071</v>
      </c>
      <c r="D118" s="146">
        <v>1530262</v>
      </c>
      <c r="E118" s="146">
        <f t="shared" si="4"/>
        <v>-74809</v>
      </c>
      <c r="F118" s="150">
        <f t="shared" si="5"/>
        <v>-4.6607907064547302E-2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13346562</v>
      </c>
      <c r="D119" s="146">
        <v>14971819</v>
      </c>
      <c r="E119" s="146">
        <f t="shared" si="4"/>
        <v>1625257</v>
      </c>
      <c r="F119" s="150">
        <f t="shared" si="5"/>
        <v>0.12177345746417692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0</v>
      </c>
      <c r="D120" s="146">
        <v>0</v>
      </c>
      <c r="E120" s="146">
        <f t="shared" si="4"/>
        <v>0</v>
      </c>
      <c r="F120" s="150">
        <f t="shared" si="5"/>
        <v>0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124157641</v>
      </c>
      <c r="D121" s="147">
        <f>SUM(D103:D120)</f>
        <v>133574227</v>
      </c>
      <c r="E121" s="147">
        <f t="shared" si="4"/>
        <v>9416586</v>
      </c>
      <c r="F121" s="148">
        <f t="shared" si="5"/>
        <v>7.5843789590042232E-2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472710</v>
      </c>
      <c r="D124" s="146">
        <v>573167</v>
      </c>
      <c r="E124" s="146">
        <f t="shared" ref="E124:E130" si="6">D124-C124</f>
        <v>100457</v>
      </c>
      <c r="F124" s="150">
        <f t="shared" ref="F124:F130" si="7">IF(C124=0,0,E124/C124)</f>
        <v>0.21251295720420554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2115775</v>
      </c>
      <c r="D126" s="146">
        <v>2464481</v>
      </c>
      <c r="E126" s="146">
        <f t="shared" si="6"/>
        <v>348706</v>
      </c>
      <c r="F126" s="150">
        <f t="shared" si="7"/>
        <v>0.16481242098049179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2984509</v>
      </c>
      <c r="D127" s="146">
        <v>2915700</v>
      </c>
      <c r="E127" s="146">
        <f t="shared" si="6"/>
        <v>-68809</v>
      </c>
      <c r="F127" s="150">
        <f t="shared" si="7"/>
        <v>-2.3055383649370802E-2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1870074</v>
      </c>
      <c r="D128" s="146">
        <v>2307251</v>
      </c>
      <c r="E128" s="146">
        <f t="shared" si="6"/>
        <v>437177</v>
      </c>
      <c r="F128" s="150">
        <f t="shared" si="7"/>
        <v>0.23377524097976871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1458337</v>
      </c>
      <c r="D129" s="146">
        <v>1345576</v>
      </c>
      <c r="E129" s="146">
        <f t="shared" si="6"/>
        <v>-112761</v>
      </c>
      <c r="F129" s="150">
        <f t="shared" si="7"/>
        <v>-7.7321634162748384E-2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8901405</v>
      </c>
      <c r="D130" s="147">
        <f>SUM(D124:D129)</f>
        <v>9606175</v>
      </c>
      <c r="E130" s="147">
        <f t="shared" si="6"/>
        <v>704770</v>
      </c>
      <c r="F130" s="148">
        <f t="shared" si="7"/>
        <v>7.91751414523887E-2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9298879</v>
      </c>
      <c r="D133" s="146">
        <v>9238553</v>
      </c>
      <c r="E133" s="146">
        <f t="shared" ref="E133:E167" si="8">D133-C133</f>
        <v>-60326</v>
      </c>
      <c r="F133" s="150">
        <f t="shared" ref="F133:F167" si="9">IF(C133=0,0,E133/C133)</f>
        <v>-6.4874486483800899E-3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2126059</v>
      </c>
      <c r="D134" s="146">
        <v>2372485</v>
      </c>
      <c r="E134" s="146">
        <f t="shared" si="8"/>
        <v>246426</v>
      </c>
      <c r="F134" s="150">
        <f t="shared" si="9"/>
        <v>0.11590741367008159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1155436</v>
      </c>
      <c r="D135" s="146">
        <v>765159</v>
      </c>
      <c r="E135" s="146">
        <f t="shared" si="8"/>
        <v>-390277</v>
      </c>
      <c r="F135" s="150">
        <f t="shared" si="9"/>
        <v>-0.33777465822425473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8748643</v>
      </c>
      <c r="D137" s="146">
        <v>7407486</v>
      </c>
      <c r="E137" s="146">
        <f t="shared" si="8"/>
        <v>-1341157</v>
      </c>
      <c r="F137" s="150">
        <f t="shared" si="9"/>
        <v>-0.15329886017751554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1401204</v>
      </c>
      <c r="D138" s="146">
        <v>1287069</v>
      </c>
      <c r="E138" s="146">
        <f t="shared" si="8"/>
        <v>-114135</v>
      </c>
      <c r="F138" s="150">
        <f t="shared" si="9"/>
        <v>-8.1454948744080088E-2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3195481</v>
      </c>
      <c r="D139" s="146">
        <v>3295326</v>
      </c>
      <c r="E139" s="146">
        <f t="shared" si="8"/>
        <v>99845</v>
      </c>
      <c r="F139" s="150">
        <f t="shared" si="9"/>
        <v>3.1245687268990179E-2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1099386</v>
      </c>
      <c r="D140" s="146">
        <v>972824</v>
      </c>
      <c r="E140" s="146">
        <f t="shared" si="8"/>
        <v>-126562</v>
      </c>
      <c r="F140" s="150">
        <f t="shared" si="9"/>
        <v>-0.1151206218743917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2007427</v>
      </c>
      <c r="D141" s="146">
        <v>2176045</v>
      </c>
      <c r="E141" s="146">
        <f t="shared" si="8"/>
        <v>168618</v>
      </c>
      <c r="F141" s="150">
        <f t="shared" si="9"/>
        <v>8.3997076855098593E-2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11024380</v>
      </c>
      <c r="D142" s="146">
        <v>11316289</v>
      </c>
      <c r="E142" s="146">
        <f t="shared" si="8"/>
        <v>291909</v>
      </c>
      <c r="F142" s="150">
        <f t="shared" si="9"/>
        <v>2.6478495842850121E-2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1298385</v>
      </c>
      <c r="D144" s="146">
        <v>1320953</v>
      </c>
      <c r="E144" s="146">
        <f t="shared" si="8"/>
        <v>22568</v>
      </c>
      <c r="F144" s="150">
        <f t="shared" si="9"/>
        <v>1.7381593287045059E-2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235781</v>
      </c>
      <c r="D145" s="146">
        <v>239435</v>
      </c>
      <c r="E145" s="146">
        <f t="shared" si="8"/>
        <v>3654</v>
      </c>
      <c r="F145" s="150">
        <f t="shared" si="9"/>
        <v>1.5497431938960306E-2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148588</v>
      </c>
      <c r="D146" s="146">
        <v>176926</v>
      </c>
      <c r="E146" s="146">
        <f t="shared" si="8"/>
        <v>28338</v>
      </c>
      <c r="F146" s="150">
        <f t="shared" si="9"/>
        <v>0.19071526637413519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1874778</v>
      </c>
      <c r="D150" s="146">
        <v>1919733</v>
      </c>
      <c r="E150" s="146">
        <f t="shared" si="8"/>
        <v>44955</v>
      </c>
      <c r="F150" s="150">
        <f t="shared" si="9"/>
        <v>2.3978839094548794E-2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1103572</v>
      </c>
      <c r="D152" s="146">
        <v>1111825</v>
      </c>
      <c r="E152" s="146">
        <f t="shared" si="8"/>
        <v>8253</v>
      </c>
      <c r="F152" s="150">
        <f t="shared" si="9"/>
        <v>7.4784427296089428E-3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1589580</v>
      </c>
      <c r="D154" s="146">
        <v>1587372</v>
      </c>
      <c r="E154" s="146">
        <f t="shared" si="8"/>
        <v>-2208</v>
      </c>
      <c r="F154" s="150">
        <f t="shared" si="9"/>
        <v>-1.3890461631374325E-3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615670</v>
      </c>
      <c r="D155" s="146">
        <v>570667</v>
      </c>
      <c r="E155" s="146">
        <f t="shared" si="8"/>
        <v>-45003</v>
      </c>
      <c r="F155" s="150">
        <f t="shared" si="9"/>
        <v>-7.3095976740786467E-2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14607816</v>
      </c>
      <c r="D156" s="146">
        <v>16229700</v>
      </c>
      <c r="E156" s="146">
        <f t="shared" si="8"/>
        <v>1621884</v>
      </c>
      <c r="F156" s="150">
        <f t="shared" si="9"/>
        <v>0.11102850693081019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2887133</v>
      </c>
      <c r="D157" s="146">
        <v>3104280</v>
      </c>
      <c r="E157" s="146">
        <f t="shared" si="8"/>
        <v>217147</v>
      </c>
      <c r="F157" s="150">
        <f t="shared" si="9"/>
        <v>7.5211983652987244E-2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0</v>
      </c>
      <c r="D158" s="146">
        <v>0</v>
      </c>
      <c r="E158" s="146">
        <f t="shared" si="8"/>
        <v>0</v>
      </c>
      <c r="F158" s="150">
        <f t="shared" si="9"/>
        <v>0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680941</v>
      </c>
      <c r="D159" s="146">
        <v>645208</v>
      </c>
      <c r="E159" s="146">
        <f t="shared" si="8"/>
        <v>-35733</v>
      </c>
      <c r="F159" s="150">
        <f t="shared" si="9"/>
        <v>-5.2475912009997933E-2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1139984</v>
      </c>
      <c r="D160" s="146">
        <v>1338374</v>
      </c>
      <c r="E160" s="146">
        <f t="shared" si="8"/>
        <v>198390</v>
      </c>
      <c r="F160" s="150">
        <f t="shared" si="9"/>
        <v>0.17402875829836209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0</v>
      </c>
      <c r="D161" s="146">
        <v>0</v>
      </c>
      <c r="E161" s="146">
        <f t="shared" si="8"/>
        <v>0</v>
      </c>
      <c r="F161" s="150">
        <f t="shared" si="9"/>
        <v>0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241131</v>
      </c>
      <c r="D162" s="146">
        <v>273370</v>
      </c>
      <c r="E162" s="146">
        <f t="shared" si="8"/>
        <v>32239</v>
      </c>
      <c r="F162" s="150">
        <f t="shared" si="9"/>
        <v>0.13369910961261722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1350207</v>
      </c>
      <c r="D163" s="146">
        <v>1426927</v>
      </c>
      <c r="E163" s="146">
        <f t="shared" si="8"/>
        <v>76720</v>
      </c>
      <c r="F163" s="150">
        <f t="shared" si="9"/>
        <v>5.6820917089009312E-2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2140351</v>
      </c>
      <c r="D164" s="146">
        <v>2242391</v>
      </c>
      <c r="E164" s="146">
        <f t="shared" si="8"/>
        <v>102040</v>
      </c>
      <c r="F164" s="150">
        <f t="shared" si="9"/>
        <v>4.7674423494090457E-2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16556406</v>
      </c>
      <c r="D166" s="146">
        <v>12913645</v>
      </c>
      <c r="E166" s="146">
        <f t="shared" si="8"/>
        <v>-3642761</v>
      </c>
      <c r="F166" s="150">
        <f t="shared" si="9"/>
        <v>-0.22002124132495907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86527218</v>
      </c>
      <c r="D167" s="147">
        <f>SUM(D133:D166)</f>
        <v>83932042</v>
      </c>
      <c r="E167" s="147">
        <f t="shared" si="8"/>
        <v>-2595176</v>
      </c>
      <c r="F167" s="148">
        <f t="shared" si="9"/>
        <v>-2.9992597242638728E-2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18937783</v>
      </c>
      <c r="D170" s="146">
        <v>23372280</v>
      </c>
      <c r="E170" s="146">
        <f t="shared" ref="E170:E183" si="10">D170-C170</f>
        <v>4434497</v>
      </c>
      <c r="F170" s="150">
        <f t="shared" ref="F170:F183" si="11">IF(C170=0,0,E170/C170)</f>
        <v>0.23416135880319253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3156837</v>
      </c>
      <c r="D171" s="146">
        <v>3059440</v>
      </c>
      <c r="E171" s="146">
        <f t="shared" si="10"/>
        <v>-97397</v>
      </c>
      <c r="F171" s="150">
        <f t="shared" si="11"/>
        <v>-3.0852717451043562E-2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2107786</v>
      </c>
      <c r="D173" s="146">
        <v>2181926</v>
      </c>
      <c r="E173" s="146">
        <f t="shared" si="10"/>
        <v>74140</v>
      </c>
      <c r="F173" s="150">
        <f t="shared" si="11"/>
        <v>3.5174348819092642E-2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4014654</v>
      </c>
      <c r="D175" s="146">
        <v>4178659</v>
      </c>
      <c r="E175" s="146">
        <f t="shared" si="10"/>
        <v>164005</v>
      </c>
      <c r="F175" s="150">
        <f t="shared" si="11"/>
        <v>4.0851590199304844E-2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0</v>
      </c>
      <c r="D176" s="146">
        <v>0</v>
      </c>
      <c r="E176" s="146">
        <f t="shared" si="10"/>
        <v>0</v>
      </c>
      <c r="F176" s="150">
        <f t="shared" si="11"/>
        <v>0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0</v>
      </c>
      <c r="D179" s="146">
        <v>0</v>
      </c>
      <c r="E179" s="146">
        <f t="shared" si="10"/>
        <v>0</v>
      </c>
      <c r="F179" s="150">
        <f t="shared" si="11"/>
        <v>0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3790047</v>
      </c>
      <c r="D181" s="146">
        <v>3668888</v>
      </c>
      <c r="E181" s="146">
        <f t="shared" si="10"/>
        <v>-121159</v>
      </c>
      <c r="F181" s="150">
        <f t="shared" si="11"/>
        <v>-3.1967677445688666E-2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480364</v>
      </c>
      <c r="D182" s="146">
        <v>538094</v>
      </c>
      <c r="E182" s="146">
        <f t="shared" si="10"/>
        <v>57730</v>
      </c>
      <c r="F182" s="150">
        <f t="shared" si="11"/>
        <v>0.12017969706306052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32487471</v>
      </c>
      <c r="D183" s="147">
        <f>SUM(D170:D182)</f>
        <v>36999287</v>
      </c>
      <c r="E183" s="147">
        <f t="shared" si="10"/>
        <v>4511816</v>
      </c>
      <c r="F183" s="148">
        <f t="shared" si="11"/>
        <v>0.13887864647882256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0</v>
      </c>
      <c r="D186" s="146">
        <v>0</v>
      </c>
      <c r="E186" s="146">
        <f>D186-C186</f>
        <v>0</v>
      </c>
      <c r="F186" s="150">
        <f>IF(C186=0,0,E186/C186)</f>
        <v>0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252073735</v>
      </c>
      <c r="D188" s="147">
        <f>+D186+D183+D167+D130+D121</f>
        <v>264111731</v>
      </c>
      <c r="E188" s="147">
        <f>D188-C188</f>
        <v>12037996</v>
      </c>
      <c r="F188" s="148">
        <f>IF(C188=0,0,E188/C188)</f>
        <v>4.7755852072410482E-2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r:id="rId1"/>
  <headerFooter>
    <oddHeader>&amp;LOFFICE OF HEALTH CARE ACCESS&amp;CTWELVE MONTHS ACTUAL FILING&amp;RWILLIAM W. BACKUS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270048715</v>
      </c>
      <c r="D11" s="164">
        <v>271933218</v>
      </c>
      <c r="E11" s="51">
        <v>283219755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4374927</v>
      </c>
      <c r="D12" s="49">
        <v>5109286</v>
      </c>
      <c r="E12" s="49">
        <v>7456692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274423642</v>
      </c>
      <c r="D13" s="51">
        <f>+D11+D12</f>
        <v>277042504</v>
      </c>
      <c r="E13" s="51">
        <f>+E11+E12</f>
        <v>290676447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262102283</v>
      </c>
      <c r="D14" s="49">
        <v>252073735</v>
      </c>
      <c r="E14" s="49">
        <v>264111731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12321359</v>
      </c>
      <c r="D15" s="51">
        <f>+D13-D14</f>
        <v>24968769</v>
      </c>
      <c r="E15" s="51">
        <f>+E13-E14</f>
        <v>26564716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6430426</v>
      </c>
      <c r="D16" s="49">
        <v>174374</v>
      </c>
      <c r="E16" s="49">
        <v>12819113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18751785</v>
      </c>
      <c r="D17" s="51">
        <f>D15+D16</f>
        <v>25143143</v>
      </c>
      <c r="E17" s="51">
        <f>E15+E16</f>
        <v>39383829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4.3871036256451876E-2</v>
      </c>
      <c r="D20" s="169">
        <f>IF(+D27=0,0,+D24/+D27)</f>
        <v>9.006944014426134E-2</v>
      </c>
      <c r="E20" s="169">
        <f>IF(+E27=0,0,+E24/+E27)</f>
        <v>8.7529175056135916E-2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2.2895968877331696E-2</v>
      </c>
      <c r="D21" s="169">
        <f>IF(D27=0,0,+D26/D27)</f>
        <v>6.2901653484460636E-4</v>
      </c>
      <c r="E21" s="169">
        <f>IF(E27=0,0,+E26/E27)</f>
        <v>4.2238222529515757E-2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6.6767005133783572E-2</v>
      </c>
      <c r="D22" s="169">
        <f>IF(D27=0,0,+D28/D27)</f>
        <v>9.0698456679105949E-2</v>
      </c>
      <c r="E22" s="169">
        <f>IF(E27=0,0,+E28/E27)</f>
        <v>0.12976739758565167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12321359</v>
      </c>
      <c r="D24" s="51">
        <f>+D15</f>
        <v>24968769</v>
      </c>
      <c r="E24" s="51">
        <f>+E15</f>
        <v>26564716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274423642</v>
      </c>
      <c r="D25" s="51">
        <f>+D13</f>
        <v>277042504</v>
      </c>
      <c r="E25" s="51">
        <f>+E13</f>
        <v>290676447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6430426</v>
      </c>
      <c r="D26" s="51">
        <f>+D16</f>
        <v>174374</v>
      </c>
      <c r="E26" s="51">
        <f>+E16</f>
        <v>12819113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280854068</v>
      </c>
      <c r="D27" s="51">
        <f>+D25+D26</f>
        <v>277216878</v>
      </c>
      <c r="E27" s="51">
        <f>+E25+E26</f>
        <v>303495560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18751785</v>
      </c>
      <c r="D28" s="51">
        <f>+D17</f>
        <v>25143143</v>
      </c>
      <c r="E28" s="51">
        <f>+E17</f>
        <v>39383829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147348055</v>
      </c>
      <c r="D31" s="51">
        <v>153327362</v>
      </c>
      <c r="E31" s="51">
        <v>187197385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158925018</v>
      </c>
      <c r="D32" s="51">
        <v>162176033</v>
      </c>
      <c r="E32" s="51">
        <v>197844044</v>
      </c>
      <c r="F32" s="13"/>
    </row>
    <row r="33" spans="1:6" ht="24" customHeight="1" x14ac:dyDescent="0.2">
      <c r="A33" s="25">
        <v>3</v>
      </c>
      <c r="B33" s="48" t="s">
        <v>331</v>
      </c>
      <c r="C33" s="51">
        <v>46321449</v>
      </c>
      <c r="D33" s="51">
        <f>+D32-C32</f>
        <v>3251015</v>
      </c>
      <c r="E33" s="51">
        <f>+E32-D32</f>
        <v>35668011</v>
      </c>
      <c r="F33" s="5"/>
    </row>
    <row r="34" spans="1:6" ht="24" customHeight="1" x14ac:dyDescent="0.2">
      <c r="A34" s="25">
        <v>4</v>
      </c>
      <c r="B34" s="48" t="s">
        <v>332</v>
      </c>
      <c r="C34" s="171">
        <v>1.4113</v>
      </c>
      <c r="D34" s="171">
        <f>IF(C32=0,0,+D33/C32)</f>
        <v>2.0456282093987241E-2</v>
      </c>
      <c r="E34" s="171">
        <f>IF(D32=0,0,+E33/D32)</f>
        <v>0.21993392204876536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0.4444176803297456</v>
      </c>
      <c r="D38" s="172">
        <f>IF((D40+D41)=0,0,+D39/(D40+D41))</f>
        <v>0.41379875630782798</v>
      </c>
      <c r="E38" s="172">
        <f>IF((E40+E41)=0,0,+E39/(E40+E41))</f>
        <v>0.42394818668311085</v>
      </c>
      <c r="F38" s="5"/>
    </row>
    <row r="39" spans="1:6" ht="24" customHeight="1" x14ac:dyDescent="0.2">
      <c r="A39" s="21">
        <v>2</v>
      </c>
      <c r="B39" s="48" t="s">
        <v>336</v>
      </c>
      <c r="C39" s="51">
        <v>262102283</v>
      </c>
      <c r="D39" s="51">
        <v>252073735</v>
      </c>
      <c r="E39" s="23">
        <v>264111731</v>
      </c>
      <c r="F39" s="5"/>
    </row>
    <row r="40" spans="1:6" ht="24" customHeight="1" x14ac:dyDescent="0.2">
      <c r="A40" s="21">
        <v>3</v>
      </c>
      <c r="B40" s="48" t="s">
        <v>337</v>
      </c>
      <c r="C40" s="51">
        <v>585390725</v>
      </c>
      <c r="D40" s="51">
        <v>604060585</v>
      </c>
      <c r="E40" s="23">
        <v>615524463</v>
      </c>
      <c r="F40" s="5"/>
    </row>
    <row r="41" spans="1:6" ht="24" customHeight="1" x14ac:dyDescent="0.2">
      <c r="A41" s="21">
        <v>4</v>
      </c>
      <c r="B41" s="48" t="s">
        <v>338</v>
      </c>
      <c r="C41" s="51">
        <v>4374927</v>
      </c>
      <c r="D41" s="51">
        <v>5109286</v>
      </c>
      <c r="E41" s="23">
        <v>7456692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1.4167831459264182</v>
      </c>
      <c r="D43" s="173">
        <f>IF(D38=0,0,IF((D46-D47)=0,0,((+D44-D45)/(D46-D47)/D38)))</f>
        <v>1.5335129058058896</v>
      </c>
      <c r="E43" s="173">
        <f>IF(E38=0,0,IF((E46-E47)=0,0,((+E44-E45)/(E46-E47)/E38)))</f>
        <v>1.5286748825550962</v>
      </c>
      <c r="F43" s="5"/>
    </row>
    <row r="44" spans="1:6" ht="24" customHeight="1" x14ac:dyDescent="0.2">
      <c r="A44" s="21">
        <v>6</v>
      </c>
      <c r="B44" s="48" t="s">
        <v>340</v>
      </c>
      <c r="C44" s="51">
        <v>155853342</v>
      </c>
      <c r="D44" s="51">
        <v>158908048</v>
      </c>
      <c r="E44" s="23">
        <v>155406762</v>
      </c>
      <c r="F44" s="5"/>
    </row>
    <row r="45" spans="1:6" ht="24" customHeight="1" x14ac:dyDescent="0.2">
      <c r="A45" s="21">
        <v>7</v>
      </c>
      <c r="B45" s="48" t="s">
        <v>341</v>
      </c>
      <c r="C45" s="51">
        <v>3099707</v>
      </c>
      <c r="D45" s="51">
        <v>3067822</v>
      </c>
      <c r="E45" s="23">
        <v>2681150</v>
      </c>
      <c r="F45" s="5"/>
    </row>
    <row r="46" spans="1:6" ht="24" customHeight="1" x14ac:dyDescent="0.2">
      <c r="A46" s="21">
        <v>8</v>
      </c>
      <c r="B46" s="48" t="s">
        <v>342</v>
      </c>
      <c r="C46" s="51">
        <v>256545666</v>
      </c>
      <c r="D46" s="51">
        <v>258871276</v>
      </c>
      <c r="E46" s="23">
        <v>248782024</v>
      </c>
      <c r="F46" s="5"/>
    </row>
    <row r="47" spans="1:6" ht="24" customHeight="1" x14ac:dyDescent="0.2">
      <c r="A47" s="21">
        <v>9</v>
      </c>
      <c r="B47" s="48" t="s">
        <v>343</v>
      </c>
      <c r="C47" s="51">
        <v>13942288</v>
      </c>
      <c r="D47" s="51">
        <v>13285645</v>
      </c>
      <c r="E47" s="174">
        <v>13123061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0.76733480195408732</v>
      </c>
      <c r="D49" s="175">
        <f>IF(D38=0,0,IF(D51=0,0,(D50/D51)/D38))</f>
        <v>0.82378593880221984</v>
      </c>
      <c r="E49" s="175">
        <f>IF(E38=0,0,IF(E51=0,0,(E50/E51)/E38))</f>
        <v>0.87919307954711978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76969419</v>
      </c>
      <c r="D50" s="176">
        <v>78626794</v>
      </c>
      <c r="E50" s="176">
        <v>91857700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225705418</v>
      </c>
      <c r="D51" s="176">
        <v>230657198</v>
      </c>
      <c r="E51" s="176">
        <v>246444156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0.60568733827122534</v>
      </c>
      <c r="D53" s="175">
        <f>IF(D38=0,0,IF(D55=0,0,(D54/D55)/D38))</f>
        <v>0.62464112255183424</v>
      </c>
      <c r="E53" s="175">
        <f>IF(E38=0,0,IF(E55=0,0,(E54/E55)/E38))</f>
        <v>0.57174865492770977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19918093</v>
      </c>
      <c r="D54" s="176">
        <v>26458942</v>
      </c>
      <c r="E54" s="176">
        <v>26068440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73995947</v>
      </c>
      <c r="D55" s="176">
        <v>102365290</v>
      </c>
      <c r="E55" s="176">
        <v>107546705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9257065.1794981658</v>
      </c>
      <c r="D57" s="53">
        <f>+D60*D38</f>
        <v>7184926.8421549369</v>
      </c>
      <c r="E57" s="53">
        <f>+E60*E38</f>
        <v>5694063.3574755825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6321367</v>
      </c>
      <c r="D58" s="51">
        <v>4672730</v>
      </c>
      <c r="E58" s="52">
        <v>5341790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14508284</v>
      </c>
      <c r="D59" s="51">
        <v>12690606</v>
      </c>
      <c r="E59" s="52">
        <v>8089246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20829651</v>
      </c>
      <c r="D60" s="51">
        <v>17363336</v>
      </c>
      <c r="E60" s="52">
        <v>13431036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3.5318521737172988E-2</v>
      </c>
      <c r="D62" s="178">
        <f>IF(D63=0,0,+D57/D63)</f>
        <v>2.8503274417522862E-2</v>
      </c>
      <c r="E62" s="178">
        <f>IF(E63=0,0,+E57/E63)</f>
        <v>2.1559297407639885E-2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262102283</v>
      </c>
      <c r="D63" s="176">
        <v>252073735</v>
      </c>
      <c r="E63" s="176">
        <v>264111731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3.8975841405369973</v>
      </c>
      <c r="D67" s="179">
        <f>IF(D69=0,0,D68/D69)</f>
        <v>4.1431022265623652</v>
      </c>
      <c r="E67" s="179">
        <f>IF(E69=0,0,E68/E69)</f>
        <v>4.9851907171696892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116727013</v>
      </c>
      <c r="D68" s="180">
        <v>136970305</v>
      </c>
      <c r="E68" s="180">
        <v>154331609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29948555</v>
      </c>
      <c r="D69" s="180">
        <v>33059842</v>
      </c>
      <c r="E69" s="180">
        <v>30958015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107.62761500381994</v>
      </c>
      <c r="D71" s="181">
        <f>IF((D77/365)=0,0,+D74/(D77/365))</f>
        <v>144.59528190651511</v>
      </c>
      <c r="E71" s="181">
        <f>IF((E77/365)=0,0,+E74/(E77/365))</f>
        <v>159.32739207053027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72131779</v>
      </c>
      <c r="D72" s="182">
        <v>93136217</v>
      </c>
      <c r="E72" s="182">
        <v>107428365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72131779</v>
      </c>
      <c r="D74" s="180">
        <f>+D72+D73</f>
        <v>93136217</v>
      </c>
      <c r="E74" s="180">
        <f>+E72+E73</f>
        <v>107428365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262102283</v>
      </c>
      <c r="D75" s="180">
        <f>+D14</f>
        <v>252073735</v>
      </c>
      <c r="E75" s="180">
        <f>+E14</f>
        <v>264111731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17480126</v>
      </c>
      <c r="D76" s="180">
        <v>16971187</v>
      </c>
      <c r="E76" s="180">
        <v>18006195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244622157</v>
      </c>
      <c r="D77" s="180">
        <f>+D75-D76</f>
        <v>235102548</v>
      </c>
      <c r="E77" s="180">
        <f>+E75-E76</f>
        <v>246105536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38.040626984653485</v>
      </c>
      <c r="D79" s="179">
        <f>IF((D84/365)=0,0,+D83/(D84/365))</f>
        <v>37.166586834566125</v>
      </c>
      <c r="E79" s="179">
        <f>IF((E84/365)=0,0,+E83/(E84/365))</f>
        <v>39.722046666554036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30758941</v>
      </c>
      <c r="D80" s="189">
        <v>32373122</v>
      </c>
      <c r="E80" s="189">
        <v>32015340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2614222</v>
      </c>
      <c r="D82" s="190">
        <v>4683178</v>
      </c>
      <c r="E82" s="190">
        <v>1193235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28144719</v>
      </c>
      <c r="D83" s="191">
        <f>+D80+D81-D82</f>
        <v>27689944</v>
      </c>
      <c r="E83" s="191">
        <f>+E80+E81-E82</f>
        <v>30822105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270048715</v>
      </c>
      <c r="D84" s="191">
        <f>+D11</f>
        <v>271933218</v>
      </c>
      <c r="E84" s="191">
        <f>+E11</f>
        <v>283219755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44.686150711196611</v>
      </c>
      <c r="D86" s="179">
        <f>IF((D90/365)=0,0,+D87/(D90/365))</f>
        <v>51.325867935723096</v>
      </c>
      <c r="E86" s="179">
        <f>IF((E90/365)=0,0,+E87/(E90/365))</f>
        <v>45.913942687579365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29948555</v>
      </c>
      <c r="D87" s="51">
        <f>+D69</f>
        <v>33059842</v>
      </c>
      <c r="E87" s="51">
        <f>+E69</f>
        <v>30958015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262102283</v>
      </c>
      <c r="D88" s="51">
        <f t="shared" si="0"/>
        <v>252073735</v>
      </c>
      <c r="E88" s="51">
        <f t="shared" si="0"/>
        <v>264111731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17480126</v>
      </c>
      <c r="D89" s="52">
        <f t="shared" si="0"/>
        <v>16971187</v>
      </c>
      <c r="E89" s="52">
        <f t="shared" si="0"/>
        <v>18006195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244622157</v>
      </c>
      <c r="D90" s="51">
        <f>+D88-D89</f>
        <v>235102548</v>
      </c>
      <c r="E90" s="51">
        <f>+E88-E89</f>
        <v>246105536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47.430357805356813</v>
      </c>
      <c r="D94" s="192">
        <f>IF(D96=0,0,(D95/D96)*100)</f>
        <v>45.30437217887274</v>
      </c>
      <c r="E94" s="192">
        <f>IF(E96=0,0,(E95/E96)*100)</f>
        <v>50.350576794481903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158925018</v>
      </c>
      <c r="D95" s="51">
        <f>+D32</f>
        <v>162176033</v>
      </c>
      <c r="E95" s="51">
        <f>+E32</f>
        <v>197844044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335070249</v>
      </c>
      <c r="D96" s="51">
        <v>357969938</v>
      </c>
      <c r="E96" s="51">
        <v>392933024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38.32426810696542</v>
      </c>
      <c r="D98" s="192">
        <f>IF(D104=0,0,(D101/D104)*100)</f>
        <v>44.122081030131568</v>
      </c>
      <c r="E98" s="192">
        <f>IF(E104=0,0,(E101/E104)*100)</f>
        <v>59.771932522421892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18751785</v>
      </c>
      <c r="D99" s="51">
        <f>+D28</f>
        <v>25143143</v>
      </c>
      <c r="E99" s="51">
        <f>+E28</f>
        <v>39383829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17480126</v>
      </c>
      <c r="D100" s="52">
        <f>+D76</f>
        <v>16971187</v>
      </c>
      <c r="E100" s="52">
        <f>+E76</f>
        <v>18006195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36231911</v>
      </c>
      <c r="D101" s="51">
        <f>+D99+D100</f>
        <v>42114330</v>
      </c>
      <c r="E101" s="51">
        <f>+E99+E100</f>
        <v>57390024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29948555</v>
      </c>
      <c r="D102" s="180">
        <f>+D69</f>
        <v>33059842</v>
      </c>
      <c r="E102" s="180">
        <f>+E69</f>
        <v>30958015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64591831</v>
      </c>
      <c r="D103" s="194">
        <v>62389713</v>
      </c>
      <c r="E103" s="194">
        <v>65056990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94540386</v>
      </c>
      <c r="D104" s="180">
        <f>+D102+D103</f>
        <v>95449555</v>
      </c>
      <c r="E104" s="180">
        <f>+E102+E103</f>
        <v>96015005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28.89796956649116</v>
      </c>
      <c r="D106" s="197">
        <f>IF(D109=0,0,(D107/D109)*100)</f>
        <v>27.782381824162979</v>
      </c>
      <c r="E106" s="197">
        <f>IF(E109=0,0,(E107/E109)*100)</f>
        <v>24.74580986242907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64591831</v>
      </c>
      <c r="D107" s="180">
        <f>+D103</f>
        <v>62389713</v>
      </c>
      <c r="E107" s="180">
        <f>+E103</f>
        <v>65056990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158925018</v>
      </c>
      <c r="D108" s="180">
        <f>+D32</f>
        <v>162176033</v>
      </c>
      <c r="E108" s="180">
        <f>+E32</f>
        <v>197844044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223516849</v>
      </c>
      <c r="D109" s="180">
        <f>+D107+D108</f>
        <v>224565746</v>
      </c>
      <c r="E109" s="180">
        <f>+E107+E108</f>
        <v>262901034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7.8465861722178296</v>
      </c>
      <c r="D111" s="197">
        <f>IF((+D113+D115)=0,0,((+D112+D113+D114)/(+D113+D115)))</f>
        <v>8.7299757030479448</v>
      </c>
      <c r="E111" s="197">
        <f>IF((+E113+E115)=0,0,((+E112+E113+E114)/(+E113+E115)))</f>
        <v>11.451230777826519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18751785</v>
      </c>
      <c r="D112" s="180">
        <f>+D17</f>
        <v>25143143</v>
      </c>
      <c r="E112" s="180">
        <f>+E17</f>
        <v>39383829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3185038</v>
      </c>
      <c r="D113" s="180">
        <v>3247715</v>
      </c>
      <c r="E113" s="180">
        <v>3276169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17480126</v>
      </c>
      <c r="D114" s="180">
        <v>16971187</v>
      </c>
      <c r="E114" s="180">
        <v>18006195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1838414</v>
      </c>
      <c r="D115" s="180">
        <v>1948410</v>
      </c>
      <c r="E115" s="180">
        <v>2021619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7.5930416634296574</v>
      </c>
      <c r="D119" s="197">
        <f>IF(+D121=0,0,(+D120)/(+D121))</f>
        <v>8.2956014213973361</v>
      </c>
      <c r="E119" s="197">
        <f>IF(+E121=0,0,(+E120)/(+E121))</f>
        <v>8.2725952928978046</v>
      </c>
    </row>
    <row r="120" spans="1:8" ht="24" customHeight="1" x14ac:dyDescent="0.25">
      <c r="A120" s="17">
        <v>21</v>
      </c>
      <c r="B120" s="48" t="s">
        <v>381</v>
      </c>
      <c r="C120" s="180">
        <v>132727325</v>
      </c>
      <c r="D120" s="180">
        <v>140786203</v>
      </c>
      <c r="E120" s="180">
        <v>148957964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17480126</v>
      </c>
      <c r="D121" s="180">
        <v>16971187</v>
      </c>
      <c r="E121" s="180">
        <v>18006195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49096</v>
      </c>
      <c r="D124" s="198">
        <v>49654</v>
      </c>
      <c r="E124" s="198">
        <v>49361</v>
      </c>
    </row>
    <row r="125" spans="1:8" ht="24" customHeight="1" x14ac:dyDescent="0.2">
      <c r="A125" s="44">
        <v>2</v>
      </c>
      <c r="B125" s="48" t="s">
        <v>385</v>
      </c>
      <c r="C125" s="198">
        <v>12175</v>
      </c>
      <c r="D125" s="198">
        <v>11999</v>
      </c>
      <c r="E125" s="198">
        <v>11911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4.0325256673511296</v>
      </c>
      <c r="D126" s="199">
        <f>IF(D125=0,0,D124/D125)</f>
        <v>4.1381781815151264</v>
      </c>
      <c r="E126" s="199">
        <f>IF(E125=0,0,E124/E125)</f>
        <v>4.1441524641088066</v>
      </c>
    </row>
    <row r="127" spans="1:8" ht="24" customHeight="1" x14ac:dyDescent="0.2">
      <c r="A127" s="44">
        <v>4</v>
      </c>
      <c r="B127" s="48" t="s">
        <v>387</v>
      </c>
      <c r="C127" s="198">
        <v>202</v>
      </c>
      <c r="D127" s="198">
        <v>202</v>
      </c>
      <c r="E127" s="198">
        <v>201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233</v>
      </c>
      <c r="E128" s="198">
        <v>233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233</v>
      </c>
      <c r="D129" s="198">
        <v>233</v>
      </c>
      <c r="E129" s="198">
        <v>233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0.66579999999999995</v>
      </c>
      <c r="D130" s="171">
        <v>0.6734</v>
      </c>
      <c r="E130" s="171">
        <v>0.67279999999999995</v>
      </c>
    </row>
    <row r="131" spans="1:8" ht="24" customHeight="1" x14ac:dyDescent="0.2">
      <c r="A131" s="44">
        <v>7</v>
      </c>
      <c r="B131" s="48" t="s">
        <v>391</v>
      </c>
      <c r="C131" s="171">
        <v>0.57720000000000005</v>
      </c>
      <c r="D131" s="171">
        <v>0.58379999999999999</v>
      </c>
      <c r="E131" s="171">
        <v>0.58040000000000003</v>
      </c>
    </row>
    <row r="132" spans="1:8" ht="24" customHeight="1" x14ac:dyDescent="0.2">
      <c r="A132" s="44">
        <v>8</v>
      </c>
      <c r="B132" s="48" t="s">
        <v>392</v>
      </c>
      <c r="C132" s="199">
        <v>1542.1</v>
      </c>
      <c r="D132" s="199">
        <v>1513.9</v>
      </c>
      <c r="E132" s="199">
        <v>1542.8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0.41442982889761365</v>
      </c>
      <c r="D135" s="203">
        <f>IF(D149=0,0,D143/D149)</f>
        <v>0.40655794650134308</v>
      </c>
      <c r="E135" s="203">
        <f>IF(E149=0,0,E143/E149)</f>
        <v>0.38285880930129662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0.38556370704370146</v>
      </c>
      <c r="D136" s="203">
        <f>IF(D149=0,0,D144/D149)</f>
        <v>0.38184447674234528</v>
      </c>
      <c r="E136" s="203">
        <f>IF(E149=0,0,E144/E149)</f>
        <v>0.40038076602001765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0.1264043720542378</v>
      </c>
      <c r="D137" s="203">
        <f>IF(D149=0,0,D145/D149)</f>
        <v>0.16946195885301804</v>
      </c>
      <c r="E137" s="203">
        <f>IF(E149=0,0,E145/E149)</f>
        <v>0.1747236892516488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3.3511174950713471E-2</v>
      </c>
      <c r="D138" s="203">
        <f>IF(D149=0,0,D146/D149)</f>
        <v>4.0120710739635496E-3</v>
      </c>
      <c r="E138" s="203">
        <f>IF(E149=0,0,E146/E149)</f>
        <v>3.957155477019603E-3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2.3817063381043491E-2</v>
      </c>
      <c r="D139" s="203">
        <f>IF(D149=0,0,D147/D149)</f>
        <v>2.1993894867350101E-2</v>
      </c>
      <c r="E139" s="203">
        <f>IF(E149=0,0,E147/E149)</f>
        <v>2.1320129075032394E-2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1.6273853672690151E-2</v>
      </c>
      <c r="D140" s="203">
        <f>IF(D149=0,0,D148/D149)</f>
        <v>1.6129651961979938E-2</v>
      </c>
      <c r="E140" s="203">
        <f>IF(E149=0,0,E148/E149)</f>
        <v>1.6759450874984965E-2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242603378</v>
      </c>
      <c r="D143" s="205">
        <f>+D46-D147</f>
        <v>245585631</v>
      </c>
      <c r="E143" s="205">
        <f>+E46-E147</f>
        <v>235658963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225705418</v>
      </c>
      <c r="D144" s="205">
        <f>+D51</f>
        <v>230657198</v>
      </c>
      <c r="E144" s="205">
        <f>+E51</f>
        <v>246444156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73995947</v>
      </c>
      <c r="D145" s="205">
        <f>+D55</f>
        <v>102365290</v>
      </c>
      <c r="E145" s="205">
        <f>+E55</f>
        <v>107546705</v>
      </c>
    </row>
    <row r="146" spans="1:7" ht="20.100000000000001" customHeight="1" x14ac:dyDescent="0.2">
      <c r="A146" s="202">
        <v>11</v>
      </c>
      <c r="B146" s="201" t="s">
        <v>404</v>
      </c>
      <c r="C146" s="204">
        <v>19617131</v>
      </c>
      <c r="D146" s="205">
        <v>2423534</v>
      </c>
      <c r="E146" s="205">
        <v>2435726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13942288</v>
      </c>
      <c r="D147" s="205">
        <f>+D47</f>
        <v>13285645</v>
      </c>
      <c r="E147" s="205">
        <f>+E47</f>
        <v>13123061</v>
      </c>
    </row>
    <row r="148" spans="1:7" ht="20.100000000000001" customHeight="1" x14ac:dyDescent="0.2">
      <c r="A148" s="202">
        <v>13</v>
      </c>
      <c r="B148" s="201" t="s">
        <v>406</v>
      </c>
      <c r="C148" s="206">
        <v>9526563</v>
      </c>
      <c r="D148" s="205">
        <v>9743287</v>
      </c>
      <c r="E148" s="205">
        <v>10315852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585390725</v>
      </c>
      <c r="D149" s="205">
        <f>SUM(D143:D148)</f>
        <v>604060585</v>
      </c>
      <c r="E149" s="205">
        <f>SUM(E143:E148)</f>
        <v>615524463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0.59064299609408089</v>
      </c>
      <c r="D152" s="203">
        <f>IF(D166=0,0,D160/D166)</f>
        <v>0.58229506401737197</v>
      </c>
      <c r="E152" s="203">
        <f>IF(E166=0,0,E160/E166)</f>
        <v>0.55078969672488576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0.29761287347290083</v>
      </c>
      <c r="D153" s="203">
        <f>IF(D166=0,0,D161/D166)</f>
        <v>0.29378803676600623</v>
      </c>
      <c r="E153" s="203">
        <f>IF(E166=0,0,E161/E166)</f>
        <v>0.33127563911706925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7.7016053503411161E-2</v>
      </c>
      <c r="D154" s="203">
        <f>IF(D166=0,0,D162/D166)</f>
        <v>9.8863507331681685E-2</v>
      </c>
      <c r="E154" s="203">
        <f>IF(E166=0,0,E162/E166)</f>
        <v>9.4013230483508431E-2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1.0693836737315774E-2</v>
      </c>
      <c r="D155" s="203">
        <f>IF(D166=0,0,D163/D166)</f>
        <v>2.1304331055756105E-3</v>
      </c>
      <c r="E155" s="203">
        <f>IF(E166=0,0,E163/E166)</f>
        <v>2.2701676956676481E-3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1.1985444598380884E-2</v>
      </c>
      <c r="D156" s="203">
        <f>IF(D166=0,0,D164/D166)</f>
        <v>1.1462878704269217E-2</v>
      </c>
      <c r="E156" s="203">
        <f>IF(E166=0,0,E164/E166)</f>
        <v>9.669300230886798E-3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1.2048795593910422E-2</v>
      </c>
      <c r="D157" s="203">
        <f>IF(D166=0,0,D165/D166)</f>
        <v>1.1460080075095328E-2</v>
      </c>
      <c r="E157" s="203">
        <f>IF(E166=0,0,E165/E166)</f>
        <v>1.1981965747982106E-2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152753635</v>
      </c>
      <c r="D160" s="208">
        <f>+D44-D164</f>
        <v>155840226</v>
      </c>
      <c r="E160" s="208">
        <f>+E44-E164</f>
        <v>152725612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76969419</v>
      </c>
      <c r="D161" s="208">
        <f>+D50</f>
        <v>78626794</v>
      </c>
      <c r="E161" s="208">
        <f>+E50</f>
        <v>91857700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19918093</v>
      </c>
      <c r="D162" s="208">
        <f>+D54</f>
        <v>26458942</v>
      </c>
      <c r="E162" s="208">
        <f>+E54</f>
        <v>26068440</v>
      </c>
    </row>
    <row r="163" spans="1:6" ht="20.100000000000001" customHeight="1" x14ac:dyDescent="0.2">
      <c r="A163" s="202">
        <v>11</v>
      </c>
      <c r="B163" s="201" t="s">
        <v>420</v>
      </c>
      <c r="C163" s="207">
        <v>2765668</v>
      </c>
      <c r="D163" s="208">
        <v>570170</v>
      </c>
      <c r="E163" s="208">
        <v>629483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3099707</v>
      </c>
      <c r="D164" s="208">
        <f>+D45</f>
        <v>3067822</v>
      </c>
      <c r="E164" s="208">
        <f>+E45</f>
        <v>2681150</v>
      </c>
    </row>
    <row r="165" spans="1:6" ht="20.100000000000001" customHeight="1" x14ac:dyDescent="0.2">
      <c r="A165" s="202">
        <v>13</v>
      </c>
      <c r="B165" s="201" t="s">
        <v>422</v>
      </c>
      <c r="C165" s="209">
        <v>3116091</v>
      </c>
      <c r="D165" s="208">
        <v>3067073</v>
      </c>
      <c r="E165" s="208">
        <v>3322417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258622613</v>
      </c>
      <c r="D166" s="208">
        <f>SUM(D160:D165)</f>
        <v>267631027</v>
      </c>
      <c r="E166" s="208">
        <f>SUM(E160:E165)</f>
        <v>277284802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4440</v>
      </c>
      <c r="D169" s="198">
        <v>4178</v>
      </c>
      <c r="E169" s="198">
        <v>3836</v>
      </c>
    </row>
    <row r="170" spans="1:6" ht="20.100000000000001" customHeight="1" x14ac:dyDescent="0.2">
      <c r="A170" s="202">
        <v>2</v>
      </c>
      <c r="B170" s="201" t="s">
        <v>426</v>
      </c>
      <c r="C170" s="198">
        <v>5229</v>
      </c>
      <c r="D170" s="198">
        <v>5200</v>
      </c>
      <c r="E170" s="198">
        <v>5508</v>
      </c>
    </row>
    <row r="171" spans="1:6" ht="20.100000000000001" customHeight="1" x14ac:dyDescent="0.2">
      <c r="A171" s="202">
        <v>3</v>
      </c>
      <c r="B171" s="201" t="s">
        <v>427</v>
      </c>
      <c r="C171" s="198">
        <v>2289</v>
      </c>
      <c r="D171" s="198">
        <v>2384</v>
      </c>
      <c r="E171" s="198">
        <v>2347</v>
      </c>
    </row>
    <row r="172" spans="1:6" ht="20.100000000000001" customHeight="1" x14ac:dyDescent="0.2">
      <c r="A172" s="202">
        <v>4</v>
      </c>
      <c r="B172" s="201" t="s">
        <v>428</v>
      </c>
      <c r="C172" s="198">
        <v>1891</v>
      </c>
      <c r="D172" s="198">
        <v>2318</v>
      </c>
      <c r="E172" s="198">
        <v>2286</v>
      </c>
    </row>
    <row r="173" spans="1:6" ht="20.100000000000001" customHeight="1" x14ac:dyDescent="0.2">
      <c r="A173" s="202">
        <v>5</v>
      </c>
      <c r="B173" s="201" t="s">
        <v>429</v>
      </c>
      <c r="C173" s="198">
        <v>398</v>
      </c>
      <c r="D173" s="198">
        <v>66</v>
      </c>
      <c r="E173" s="198">
        <v>61</v>
      </c>
    </row>
    <row r="174" spans="1:6" ht="20.100000000000001" customHeight="1" x14ac:dyDescent="0.2">
      <c r="A174" s="202">
        <v>6</v>
      </c>
      <c r="B174" s="201" t="s">
        <v>430</v>
      </c>
      <c r="C174" s="198">
        <v>217</v>
      </c>
      <c r="D174" s="198">
        <v>237</v>
      </c>
      <c r="E174" s="198">
        <v>220</v>
      </c>
    </row>
    <row r="175" spans="1:6" ht="20.100000000000001" customHeight="1" x14ac:dyDescent="0.2">
      <c r="A175" s="202">
        <v>7</v>
      </c>
      <c r="B175" s="201" t="s">
        <v>431</v>
      </c>
      <c r="C175" s="198">
        <v>176</v>
      </c>
      <c r="D175" s="198">
        <v>172</v>
      </c>
      <c r="E175" s="198">
        <v>124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12175</v>
      </c>
      <c r="D176" s="198">
        <f>+D169+D170+D171+D174</f>
        <v>11999</v>
      </c>
      <c r="E176" s="198">
        <f>+E169+E170+E171+E174</f>
        <v>11911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1.216</v>
      </c>
      <c r="D179" s="210">
        <v>1.2574000000000001</v>
      </c>
      <c r="E179" s="210">
        <v>1.2529999999999999</v>
      </c>
    </row>
    <row r="180" spans="1:6" ht="20.100000000000001" customHeight="1" x14ac:dyDescent="0.2">
      <c r="A180" s="202">
        <v>2</v>
      </c>
      <c r="B180" s="201" t="s">
        <v>426</v>
      </c>
      <c r="C180" s="210">
        <v>1.417</v>
      </c>
      <c r="D180" s="210">
        <v>1.4507000000000001</v>
      </c>
      <c r="E180" s="210">
        <v>1.3653999999999999</v>
      </c>
    </row>
    <row r="181" spans="1:6" ht="20.100000000000001" customHeight="1" x14ac:dyDescent="0.2">
      <c r="A181" s="202">
        <v>3</v>
      </c>
      <c r="B181" s="201" t="s">
        <v>427</v>
      </c>
      <c r="C181" s="210">
        <v>0.93410199999999999</v>
      </c>
      <c r="D181" s="210">
        <v>1.0012939999999999</v>
      </c>
      <c r="E181" s="210">
        <v>1.0055730000000001</v>
      </c>
    </row>
    <row r="182" spans="1:6" ht="20.100000000000001" customHeight="1" x14ac:dyDescent="0.2">
      <c r="A182" s="202">
        <v>4</v>
      </c>
      <c r="B182" s="201" t="s">
        <v>428</v>
      </c>
      <c r="C182" s="210">
        <v>0.88619999999999999</v>
      </c>
      <c r="D182" s="210">
        <v>0.99650000000000005</v>
      </c>
      <c r="E182" s="210">
        <v>1.0051000000000001</v>
      </c>
    </row>
    <row r="183" spans="1:6" ht="20.100000000000001" customHeight="1" x14ac:dyDescent="0.2">
      <c r="A183" s="202">
        <v>5</v>
      </c>
      <c r="B183" s="201" t="s">
        <v>429</v>
      </c>
      <c r="C183" s="210">
        <v>1.1617</v>
      </c>
      <c r="D183" s="210">
        <v>1.1697</v>
      </c>
      <c r="E183" s="210">
        <v>1.0233000000000001</v>
      </c>
    </row>
    <row r="184" spans="1:6" ht="20.100000000000001" customHeight="1" x14ac:dyDescent="0.2">
      <c r="A184" s="202">
        <v>6</v>
      </c>
      <c r="B184" s="201" t="s">
        <v>430</v>
      </c>
      <c r="C184" s="210">
        <v>0.78739999999999999</v>
      </c>
      <c r="D184" s="210">
        <v>0.83979999999999999</v>
      </c>
      <c r="E184" s="210">
        <v>0.94120000000000004</v>
      </c>
    </row>
    <row r="185" spans="1:6" ht="20.100000000000001" customHeight="1" x14ac:dyDescent="0.2">
      <c r="A185" s="202">
        <v>7</v>
      </c>
      <c r="B185" s="201" t="s">
        <v>431</v>
      </c>
      <c r="C185" s="210">
        <v>1.0119</v>
      </c>
      <c r="D185" s="210">
        <v>1.0202</v>
      </c>
      <c r="E185" s="210">
        <v>1.1507000000000001</v>
      </c>
    </row>
    <row r="186" spans="1:6" ht="20.100000000000001" customHeight="1" x14ac:dyDescent="0.2">
      <c r="A186" s="202">
        <v>8</v>
      </c>
      <c r="B186" s="201" t="s">
        <v>435</v>
      </c>
      <c r="C186" s="210">
        <v>1.2416879999999999</v>
      </c>
      <c r="D186" s="210">
        <v>1.282038</v>
      </c>
      <c r="E186" s="210">
        <v>1.2504630000000001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6391</v>
      </c>
      <c r="D189" s="198">
        <v>6846</v>
      </c>
      <c r="E189" s="198">
        <v>7364</v>
      </c>
    </row>
    <row r="190" spans="1:6" ht="20.100000000000001" customHeight="1" x14ac:dyDescent="0.2">
      <c r="A190" s="202">
        <v>2</v>
      </c>
      <c r="B190" s="201" t="s">
        <v>439</v>
      </c>
      <c r="C190" s="198">
        <v>59170</v>
      </c>
      <c r="D190" s="198">
        <v>56352</v>
      </c>
      <c r="E190" s="198">
        <v>60738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65561</v>
      </c>
      <c r="D191" s="198">
        <f>+D190+D189</f>
        <v>63198</v>
      </c>
      <c r="E191" s="198">
        <f>+E190+E189</f>
        <v>68102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FILING&amp;RWILLIAM W. BACKUS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5" width="21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441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86"/>
      <c r="D9" s="687"/>
      <c r="E9" s="687"/>
      <c r="F9" s="688"/>
      <c r="G9" s="212"/>
    </row>
    <row r="10" spans="1:7" ht="20.25" customHeight="1" x14ac:dyDescent="0.3">
      <c r="A10" s="689" t="s">
        <v>12</v>
      </c>
      <c r="B10" s="690" t="s">
        <v>113</v>
      </c>
      <c r="C10" s="692"/>
      <c r="D10" s="693"/>
      <c r="E10" s="693"/>
      <c r="F10" s="694"/>
    </row>
    <row r="11" spans="1:7" ht="20.25" customHeight="1" x14ac:dyDescent="0.3">
      <c r="A11" s="675"/>
      <c r="B11" s="691"/>
      <c r="C11" s="681"/>
      <c r="D11" s="682"/>
      <c r="E11" s="682"/>
      <c r="F11" s="683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444399</v>
      </c>
      <c r="D14" s="237">
        <v>1482310</v>
      </c>
      <c r="E14" s="237">
        <f t="shared" ref="E14:E24" si="0">D14-C14</f>
        <v>1037911</v>
      </c>
      <c r="F14" s="238">
        <f t="shared" ref="F14:F24" si="1">IF(C14=0,0,E14/C14)</f>
        <v>2.3355385588176389</v>
      </c>
    </row>
    <row r="15" spans="1:7" ht="20.25" customHeight="1" x14ac:dyDescent="0.3">
      <c r="A15" s="235">
        <v>2</v>
      </c>
      <c r="B15" s="236" t="s">
        <v>447</v>
      </c>
      <c r="C15" s="237">
        <v>244260</v>
      </c>
      <c r="D15" s="237">
        <v>594747</v>
      </c>
      <c r="E15" s="237">
        <f t="shared" si="0"/>
        <v>350487</v>
      </c>
      <c r="F15" s="238">
        <f t="shared" si="1"/>
        <v>1.4348931466470154</v>
      </c>
    </row>
    <row r="16" spans="1:7" ht="20.25" customHeight="1" x14ac:dyDescent="0.3">
      <c r="A16" s="235">
        <v>3</v>
      </c>
      <c r="B16" s="236" t="s">
        <v>448</v>
      </c>
      <c r="C16" s="237">
        <v>694010</v>
      </c>
      <c r="D16" s="237">
        <v>2100622</v>
      </c>
      <c r="E16" s="237">
        <f t="shared" si="0"/>
        <v>1406612</v>
      </c>
      <c r="F16" s="238">
        <f t="shared" si="1"/>
        <v>2.0267892393481364</v>
      </c>
    </row>
    <row r="17" spans="1:6" ht="20.25" customHeight="1" x14ac:dyDescent="0.3">
      <c r="A17" s="235">
        <v>4</v>
      </c>
      <c r="B17" s="236" t="s">
        <v>449</v>
      </c>
      <c r="C17" s="237">
        <v>172546</v>
      </c>
      <c r="D17" s="237">
        <v>657965</v>
      </c>
      <c r="E17" s="237">
        <f t="shared" si="0"/>
        <v>485419</v>
      </c>
      <c r="F17" s="238">
        <f t="shared" si="1"/>
        <v>2.8132729822771898</v>
      </c>
    </row>
    <row r="18" spans="1:6" ht="20.25" customHeight="1" x14ac:dyDescent="0.3">
      <c r="A18" s="235">
        <v>5</v>
      </c>
      <c r="B18" s="236" t="s">
        <v>385</v>
      </c>
      <c r="C18" s="239">
        <v>21</v>
      </c>
      <c r="D18" s="239">
        <v>64</v>
      </c>
      <c r="E18" s="239">
        <f t="shared" si="0"/>
        <v>43</v>
      </c>
      <c r="F18" s="238">
        <f t="shared" si="1"/>
        <v>2.0476190476190474</v>
      </c>
    </row>
    <row r="19" spans="1:6" ht="20.25" customHeight="1" x14ac:dyDescent="0.3">
      <c r="A19" s="235">
        <v>6</v>
      </c>
      <c r="B19" s="236" t="s">
        <v>384</v>
      </c>
      <c r="C19" s="239">
        <v>93</v>
      </c>
      <c r="D19" s="239">
        <v>297</v>
      </c>
      <c r="E19" s="239">
        <f t="shared" si="0"/>
        <v>204</v>
      </c>
      <c r="F19" s="238">
        <f t="shared" si="1"/>
        <v>2.193548387096774</v>
      </c>
    </row>
    <row r="20" spans="1:6" ht="20.25" customHeight="1" x14ac:dyDescent="0.3">
      <c r="A20" s="235">
        <v>7</v>
      </c>
      <c r="B20" s="236" t="s">
        <v>450</v>
      </c>
      <c r="C20" s="239">
        <v>334</v>
      </c>
      <c r="D20" s="239">
        <v>1253</v>
      </c>
      <c r="E20" s="239">
        <f t="shared" si="0"/>
        <v>919</v>
      </c>
      <c r="F20" s="238">
        <f t="shared" si="1"/>
        <v>2.7514970059880239</v>
      </c>
    </row>
    <row r="21" spans="1:6" ht="20.25" customHeight="1" x14ac:dyDescent="0.3">
      <c r="A21" s="235">
        <v>8</v>
      </c>
      <c r="B21" s="236" t="s">
        <v>451</v>
      </c>
      <c r="C21" s="239">
        <v>35</v>
      </c>
      <c r="D21" s="239">
        <v>98</v>
      </c>
      <c r="E21" s="239">
        <f t="shared" si="0"/>
        <v>63</v>
      </c>
      <c r="F21" s="238">
        <f t="shared" si="1"/>
        <v>1.8</v>
      </c>
    </row>
    <row r="22" spans="1:6" ht="20.25" customHeight="1" x14ac:dyDescent="0.3">
      <c r="A22" s="235">
        <v>9</v>
      </c>
      <c r="B22" s="236" t="s">
        <v>452</v>
      </c>
      <c r="C22" s="239">
        <v>19</v>
      </c>
      <c r="D22" s="239">
        <v>49</v>
      </c>
      <c r="E22" s="239">
        <f t="shared" si="0"/>
        <v>30</v>
      </c>
      <c r="F22" s="238">
        <f t="shared" si="1"/>
        <v>1.5789473684210527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1138409</v>
      </c>
      <c r="D23" s="243">
        <f>+D14+D16</f>
        <v>3582932</v>
      </c>
      <c r="E23" s="243">
        <f t="shared" si="0"/>
        <v>2444523</v>
      </c>
      <c r="F23" s="244">
        <f t="shared" si="1"/>
        <v>2.147315244345398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416806</v>
      </c>
      <c r="D24" s="243">
        <f>+D15+D17</f>
        <v>1252712</v>
      </c>
      <c r="E24" s="243">
        <f t="shared" si="0"/>
        <v>835906</v>
      </c>
      <c r="F24" s="244">
        <f t="shared" si="1"/>
        <v>2.0055037595428087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5845085</v>
      </c>
      <c r="D40" s="237">
        <v>8057333</v>
      </c>
      <c r="E40" s="237">
        <f t="shared" ref="E40:E50" si="4">D40-C40</f>
        <v>2212248</v>
      </c>
      <c r="F40" s="238">
        <f t="shared" ref="F40:F50" si="5">IF(C40=0,0,E40/C40)</f>
        <v>0.37848003921243234</v>
      </c>
    </row>
    <row r="41" spans="1:6" ht="20.25" customHeight="1" x14ac:dyDescent="0.3">
      <c r="A41" s="235">
        <v>2</v>
      </c>
      <c r="B41" s="236" t="s">
        <v>447</v>
      </c>
      <c r="C41" s="237">
        <v>2486438</v>
      </c>
      <c r="D41" s="237">
        <v>3335697</v>
      </c>
      <c r="E41" s="237">
        <f t="shared" si="4"/>
        <v>849259</v>
      </c>
      <c r="F41" s="238">
        <f t="shared" si="5"/>
        <v>0.34155647556866492</v>
      </c>
    </row>
    <row r="42" spans="1:6" ht="20.25" customHeight="1" x14ac:dyDescent="0.3">
      <c r="A42" s="235">
        <v>3</v>
      </c>
      <c r="B42" s="236" t="s">
        <v>448</v>
      </c>
      <c r="C42" s="237">
        <v>7146797</v>
      </c>
      <c r="D42" s="237">
        <v>10478050</v>
      </c>
      <c r="E42" s="237">
        <f t="shared" si="4"/>
        <v>3331253</v>
      </c>
      <c r="F42" s="238">
        <f t="shared" si="5"/>
        <v>0.46611831845790497</v>
      </c>
    </row>
    <row r="43" spans="1:6" ht="20.25" customHeight="1" x14ac:dyDescent="0.3">
      <c r="A43" s="235">
        <v>4</v>
      </c>
      <c r="B43" s="236" t="s">
        <v>449</v>
      </c>
      <c r="C43" s="237">
        <v>1621038</v>
      </c>
      <c r="D43" s="237">
        <v>2338036</v>
      </c>
      <c r="E43" s="237">
        <f t="shared" si="4"/>
        <v>716998</v>
      </c>
      <c r="F43" s="238">
        <f t="shared" si="5"/>
        <v>0.44230795329905898</v>
      </c>
    </row>
    <row r="44" spans="1:6" ht="20.25" customHeight="1" x14ac:dyDescent="0.3">
      <c r="A44" s="235">
        <v>5</v>
      </c>
      <c r="B44" s="236" t="s">
        <v>385</v>
      </c>
      <c r="C44" s="239">
        <v>248</v>
      </c>
      <c r="D44" s="239">
        <v>370</v>
      </c>
      <c r="E44" s="239">
        <f t="shared" si="4"/>
        <v>122</v>
      </c>
      <c r="F44" s="238">
        <f t="shared" si="5"/>
        <v>0.49193548387096775</v>
      </c>
    </row>
    <row r="45" spans="1:6" ht="20.25" customHeight="1" x14ac:dyDescent="0.3">
      <c r="A45" s="235">
        <v>6</v>
      </c>
      <c r="B45" s="236" t="s">
        <v>384</v>
      </c>
      <c r="C45" s="239">
        <v>1129</v>
      </c>
      <c r="D45" s="239">
        <v>1650</v>
      </c>
      <c r="E45" s="239">
        <f t="shared" si="4"/>
        <v>521</v>
      </c>
      <c r="F45" s="238">
        <f t="shared" si="5"/>
        <v>0.46147032772364927</v>
      </c>
    </row>
    <row r="46" spans="1:6" ht="20.25" customHeight="1" x14ac:dyDescent="0.3">
      <c r="A46" s="235">
        <v>7</v>
      </c>
      <c r="B46" s="236" t="s">
        <v>450</v>
      </c>
      <c r="C46" s="239">
        <v>5053</v>
      </c>
      <c r="D46" s="239">
        <v>7377</v>
      </c>
      <c r="E46" s="239">
        <f t="shared" si="4"/>
        <v>2324</v>
      </c>
      <c r="F46" s="238">
        <f t="shared" si="5"/>
        <v>0.45992479715020779</v>
      </c>
    </row>
    <row r="47" spans="1:6" ht="20.25" customHeight="1" x14ac:dyDescent="0.3">
      <c r="A47" s="235">
        <v>8</v>
      </c>
      <c r="B47" s="236" t="s">
        <v>451</v>
      </c>
      <c r="C47" s="239">
        <v>348</v>
      </c>
      <c r="D47" s="239">
        <v>491</v>
      </c>
      <c r="E47" s="239">
        <f t="shared" si="4"/>
        <v>143</v>
      </c>
      <c r="F47" s="238">
        <f t="shared" si="5"/>
        <v>0.41091954022988508</v>
      </c>
    </row>
    <row r="48" spans="1:6" ht="20.25" customHeight="1" x14ac:dyDescent="0.3">
      <c r="A48" s="235">
        <v>9</v>
      </c>
      <c r="B48" s="236" t="s">
        <v>452</v>
      </c>
      <c r="C48" s="239">
        <v>168</v>
      </c>
      <c r="D48" s="239">
        <v>282</v>
      </c>
      <c r="E48" s="239">
        <f t="shared" si="4"/>
        <v>114</v>
      </c>
      <c r="F48" s="238">
        <f t="shared" si="5"/>
        <v>0.6785714285714286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12991882</v>
      </c>
      <c r="D49" s="243">
        <f>+D40+D42</f>
        <v>18535383</v>
      </c>
      <c r="E49" s="243">
        <f t="shared" si="4"/>
        <v>5543501</v>
      </c>
      <c r="F49" s="244">
        <f t="shared" si="5"/>
        <v>0.42668960509339604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4107476</v>
      </c>
      <c r="D50" s="243">
        <f>+D41+D43</f>
        <v>5673733</v>
      </c>
      <c r="E50" s="243">
        <f t="shared" si="4"/>
        <v>1566257</v>
      </c>
      <c r="F50" s="244">
        <f t="shared" si="5"/>
        <v>0.38131860052255934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1765932</v>
      </c>
      <c r="D53" s="237">
        <v>14651</v>
      </c>
      <c r="E53" s="237">
        <f t="shared" ref="E53:E63" si="6">D53-C53</f>
        <v>-1751281</v>
      </c>
      <c r="F53" s="238">
        <f t="shared" ref="F53:F63" si="7">IF(C53=0,0,E53/C53)</f>
        <v>-0.99170353105329079</v>
      </c>
    </row>
    <row r="54" spans="1:6" ht="20.25" customHeight="1" x14ac:dyDescent="0.3">
      <c r="A54" s="235">
        <v>2</v>
      </c>
      <c r="B54" s="236" t="s">
        <v>447</v>
      </c>
      <c r="C54" s="237">
        <v>726270</v>
      </c>
      <c r="D54" s="237">
        <v>6845</v>
      </c>
      <c r="E54" s="237">
        <f t="shared" si="6"/>
        <v>-719425</v>
      </c>
      <c r="F54" s="238">
        <f t="shared" si="7"/>
        <v>-0.99057513046112322</v>
      </c>
    </row>
    <row r="55" spans="1:6" ht="20.25" customHeight="1" x14ac:dyDescent="0.3">
      <c r="A55" s="235">
        <v>3</v>
      </c>
      <c r="B55" s="236" t="s">
        <v>448</v>
      </c>
      <c r="C55" s="237">
        <v>2045059</v>
      </c>
      <c r="D55" s="237">
        <v>18749</v>
      </c>
      <c r="E55" s="237">
        <f t="shared" si="6"/>
        <v>-2026310</v>
      </c>
      <c r="F55" s="238">
        <f t="shared" si="7"/>
        <v>-0.99083204934429769</v>
      </c>
    </row>
    <row r="56" spans="1:6" ht="20.25" customHeight="1" x14ac:dyDescent="0.3">
      <c r="A56" s="235">
        <v>4</v>
      </c>
      <c r="B56" s="236" t="s">
        <v>449</v>
      </c>
      <c r="C56" s="237">
        <v>441479</v>
      </c>
      <c r="D56" s="237">
        <v>3936</v>
      </c>
      <c r="E56" s="237">
        <f t="shared" si="6"/>
        <v>-437543</v>
      </c>
      <c r="F56" s="238">
        <f t="shared" si="7"/>
        <v>-0.99108451364617567</v>
      </c>
    </row>
    <row r="57" spans="1:6" ht="20.25" customHeight="1" x14ac:dyDescent="0.3">
      <c r="A57" s="235">
        <v>5</v>
      </c>
      <c r="B57" s="236" t="s">
        <v>385</v>
      </c>
      <c r="C57" s="239">
        <v>77</v>
      </c>
      <c r="D57" s="239">
        <v>1</v>
      </c>
      <c r="E57" s="239">
        <f t="shared" si="6"/>
        <v>-76</v>
      </c>
      <c r="F57" s="238">
        <f t="shared" si="7"/>
        <v>-0.98701298701298701</v>
      </c>
    </row>
    <row r="58" spans="1:6" ht="20.25" customHeight="1" x14ac:dyDescent="0.3">
      <c r="A58" s="235">
        <v>6</v>
      </c>
      <c r="B58" s="236" t="s">
        <v>384</v>
      </c>
      <c r="C58" s="239">
        <v>402</v>
      </c>
      <c r="D58" s="239">
        <v>4</v>
      </c>
      <c r="E58" s="239">
        <f t="shared" si="6"/>
        <v>-398</v>
      </c>
      <c r="F58" s="238">
        <f t="shared" si="7"/>
        <v>-0.99004975124378114</v>
      </c>
    </row>
    <row r="59" spans="1:6" ht="20.25" customHeight="1" x14ac:dyDescent="0.3">
      <c r="A59" s="235">
        <v>7</v>
      </c>
      <c r="B59" s="236" t="s">
        <v>450</v>
      </c>
      <c r="C59" s="239">
        <v>1544</v>
      </c>
      <c r="D59" s="239">
        <v>13</v>
      </c>
      <c r="E59" s="239">
        <f t="shared" si="6"/>
        <v>-1531</v>
      </c>
      <c r="F59" s="238">
        <f t="shared" si="7"/>
        <v>-0.99158031088082899</v>
      </c>
    </row>
    <row r="60" spans="1:6" ht="20.25" customHeight="1" x14ac:dyDescent="0.3">
      <c r="A60" s="235">
        <v>8</v>
      </c>
      <c r="B60" s="236" t="s">
        <v>451</v>
      </c>
      <c r="C60" s="239">
        <v>108</v>
      </c>
      <c r="D60" s="239">
        <v>0</v>
      </c>
      <c r="E60" s="239">
        <f t="shared" si="6"/>
        <v>-108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47</v>
      </c>
      <c r="D61" s="239">
        <v>1</v>
      </c>
      <c r="E61" s="239">
        <f t="shared" si="6"/>
        <v>-46</v>
      </c>
      <c r="F61" s="238">
        <f t="shared" si="7"/>
        <v>-0.97872340425531912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3810991</v>
      </c>
      <c r="D62" s="243">
        <f>+D53+D55</f>
        <v>33400</v>
      </c>
      <c r="E62" s="243">
        <f t="shared" si="6"/>
        <v>-3777591</v>
      </c>
      <c r="F62" s="244">
        <f t="shared" si="7"/>
        <v>-0.99123587539304081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1167749</v>
      </c>
      <c r="D63" s="243">
        <f>+D54+D56</f>
        <v>10781</v>
      </c>
      <c r="E63" s="243">
        <f t="shared" si="6"/>
        <v>-1156968</v>
      </c>
      <c r="F63" s="244">
        <f t="shared" si="7"/>
        <v>-0.99076770778651924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1803407</v>
      </c>
      <c r="D66" s="237">
        <v>603502</v>
      </c>
      <c r="E66" s="237">
        <f t="shared" ref="E66:E76" si="8">D66-C66</f>
        <v>-1199905</v>
      </c>
      <c r="F66" s="238">
        <f t="shared" ref="F66:F76" si="9">IF(C66=0,0,E66/C66)</f>
        <v>-0.66535452063788147</v>
      </c>
    </row>
    <row r="67" spans="1:6" ht="20.25" customHeight="1" x14ac:dyDescent="0.3">
      <c r="A67" s="235">
        <v>2</v>
      </c>
      <c r="B67" s="236" t="s">
        <v>447</v>
      </c>
      <c r="C67" s="237">
        <v>662697</v>
      </c>
      <c r="D67" s="237">
        <v>303529</v>
      </c>
      <c r="E67" s="237">
        <f t="shared" si="8"/>
        <v>-359168</v>
      </c>
      <c r="F67" s="238">
        <f t="shared" si="9"/>
        <v>-0.54197921523712944</v>
      </c>
    </row>
    <row r="68" spans="1:6" ht="20.25" customHeight="1" x14ac:dyDescent="0.3">
      <c r="A68" s="235">
        <v>3</v>
      </c>
      <c r="B68" s="236" t="s">
        <v>448</v>
      </c>
      <c r="C68" s="237">
        <v>757398</v>
      </c>
      <c r="D68" s="237">
        <v>748773</v>
      </c>
      <c r="E68" s="237">
        <f t="shared" si="8"/>
        <v>-8625</v>
      </c>
      <c r="F68" s="238">
        <f t="shared" si="9"/>
        <v>-1.1387672003358868E-2</v>
      </c>
    </row>
    <row r="69" spans="1:6" ht="20.25" customHeight="1" x14ac:dyDescent="0.3">
      <c r="A69" s="235">
        <v>4</v>
      </c>
      <c r="B69" s="236" t="s">
        <v>449</v>
      </c>
      <c r="C69" s="237">
        <v>216000</v>
      </c>
      <c r="D69" s="237">
        <v>206827</v>
      </c>
      <c r="E69" s="237">
        <f t="shared" si="8"/>
        <v>-9173</v>
      </c>
      <c r="F69" s="238">
        <f t="shared" si="9"/>
        <v>-4.2467592592592592E-2</v>
      </c>
    </row>
    <row r="70" spans="1:6" ht="20.25" customHeight="1" x14ac:dyDescent="0.3">
      <c r="A70" s="235">
        <v>5</v>
      </c>
      <c r="B70" s="236" t="s">
        <v>385</v>
      </c>
      <c r="C70" s="239">
        <v>72</v>
      </c>
      <c r="D70" s="239">
        <v>38</v>
      </c>
      <c r="E70" s="239">
        <f t="shared" si="8"/>
        <v>-34</v>
      </c>
      <c r="F70" s="238">
        <f t="shared" si="9"/>
        <v>-0.47222222222222221</v>
      </c>
    </row>
    <row r="71" spans="1:6" ht="20.25" customHeight="1" x14ac:dyDescent="0.3">
      <c r="A71" s="235">
        <v>6</v>
      </c>
      <c r="B71" s="236" t="s">
        <v>384</v>
      </c>
      <c r="C71" s="239">
        <v>360</v>
      </c>
      <c r="D71" s="239">
        <v>136</v>
      </c>
      <c r="E71" s="239">
        <f t="shared" si="8"/>
        <v>-224</v>
      </c>
      <c r="F71" s="238">
        <f t="shared" si="9"/>
        <v>-0.62222222222222223</v>
      </c>
    </row>
    <row r="72" spans="1:6" ht="20.25" customHeight="1" x14ac:dyDescent="0.3">
      <c r="A72" s="235">
        <v>7</v>
      </c>
      <c r="B72" s="236" t="s">
        <v>450</v>
      </c>
      <c r="C72" s="239">
        <v>432</v>
      </c>
      <c r="D72" s="239">
        <v>371</v>
      </c>
      <c r="E72" s="239">
        <f t="shared" si="8"/>
        <v>-61</v>
      </c>
      <c r="F72" s="238">
        <f t="shared" si="9"/>
        <v>-0.14120370370370369</v>
      </c>
    </row>
    <row r="73" spans="1:6" ht="20.25" customHeight="1" x14ac:dyDescent="0.3">
      <c r="A73" s="235">
        <v>8</v>
      </c>
      <c r="B73" s="236" t="s">
        <v>451</v>
      </c>
      <c r="C73" s="239">
        <v>95</v>
      </c>
      <c r="D73" s="239">
        <v>94</v>
      </c>
      <c r="E73" s="239">
        <f t="shared" si="8"/>
        <v>-1</v>
      </c>
      <c r="F73" s="238">
        <f t="shared" si="9"/>
        <v>-1.0526315789473684E-2</v>
      </c>
    </row>
    <row r="74" spans="1:6" ht="20.25" customHeight="1" x14ac:dyDescent="0.3">
      <c r="A74" s="235">
        <v>9</v>
      </c>
      <c r="B74" s="236" t="s">
        <v>452</v>
      </c>
      <c r="C74" s="239">
        <v>67</v>
      </c>
      <c r="D74" s="239">
        <v>34</v>
      </c>
      <c r="E74" s="239">
        <f t="shared" si="8"/>
        <v>-33</v>
      </c>
      <c r="F74" s="238">
        <f t="shared" si="9"/>
        <v>-0.4925373134328358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2560805</v>
      </c>
      <c r="D75" s="243">
        <f>+D66+D68</f>
        <v>1352275</v>
      </c>
      <c r="E75" s="243">
        <f t="shared" si="8"/>
        <v>-1208530</v>
      </c>
      <c r="F75" s="244">
        <f t="shared" si="9"/>
        <v>-0.47193363024517682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878697</v>
      </c>
      <c r="D76" s="243">
        <f>+D67+D69</f>
        <v>510356</v>
      </c>
      <c r="E76" s="243">
        <f t="shared" si="8"/>
        <v>-368341</v>
      </c>
      <c r="F76" s="244">
        <f t="shared" si="9"/>
        <v>-0.41919000520088268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71126</v>
      </c>
      <c r="D79" s="237">
        <v>19471</v>
      </c>
      <c r="E79" s="237">
        <f t="shared" ref="E79:E89" si="10">D79-C79</f>
        <v>-51655</v>
      </c>
      <c r="F79" s="238">
        <f t="shared" ref="F79:F89" si="11">IF(C79=0,0,E79/C79)</f>
        <v>-0.72624637966425776</v>
      </c>
    </row>
    <row r="80" spans="1:6" ht="20.25" customHeight="1" x14ac:dyDescent="0.3">
      <c r="A80" s="235">
        <v>2</v>
      </c>
      <c r="B80" s="236" t="s">
        <v>447</v>
      </c>
      <c r="C80" s="237">
        <v>34822</v>
      </c>
      <c r="D80" s="237">
        <v>7050</v>
      </c>
      <c r="E80" s="237">
        <f t="shared" si="10"/>
        <v>-27772</v>
      </c>
      <c r="F80" s="238">
        <f t="shared" si="11"/>
        <v>-0.79754178392969965</v>
      </c>
    </row>
    <row r="81" spans="1:6" ht="20.25" customHeight="1" x14ac:dyDescent="0.3">
      <c r="A81" s="235">
        <v>3</v>
      </c>
      <c r="B81" s="236" t="s">
        <v>448</v>
      </c>
      <c r="C81" s="237">
        <v>17230</v>
      </c>
      <c r="D81" s="237">
        <v>737</v>
      </c>
      <c r="E81" s="237">
        <f t="shared" si="10"/>
        <v>-16493</v>
      </c>
      <c r="F81" s="238">
        <f t="shared" si="11"/>
        <v>-0.95722576900754497</v>
      </c>
    </row>
    <row r="82" spans="1:6" ht="20.25" customHeight="1" x14ac:dyDescent="0.3">
      <c r="A82" s="235">
        <v>4</v>
      </c>
      <c r="B82" s="236" t="s">
        <v>449</v>
      </c>
      <c r="C82" s="237">
        <v>4115</v>
      </c>
      <c r="D82" s="237">
        <v>111</v>
      </c>
      <c r="E82" s="237">
        <f t="shared" si="10"/>
        <v>-4004</v>
      </c>
      <c r="F82" s="238">
        <f t="shared" si="11"/>
        <v>-0.97302551640340218</v>
      </c>
    </row>
    <row r="83" spans="1:6" ht="20.25" customHeight="1" x14ac:dyDescent="0.3">
      <c r="A83" s="235">
        <v>5</v>
      </c>
      <c r="B83" s="236" t="s">
        <v>385</v>
      </c>
      <c r="C83" s="239">
        <v>4</v>
      </c>
      <c r="D83" s="239">
        <v>1</v>
      </c>
      <c r="E83" s="239">
        <f t="shared" si="10"/>
        <v>-3</v>
      </c>
      <c r="F83" s="238">
        <f t="shared" si="11"/>
        <v>-0.75</v>
      </c>
    </row>
    <row r="84" spans="1:6" ht="20.25" customHeight="1" x14ac:dyDescent="0.3">
      <c r="A84" s="235">
        <v>6</v>
      </c>
      <c r="B84" s="236" t="s">
        <v>384</v>
      </c>
      <c r="C84" s="239">
        <v>20</v>
      </c>
      <c r="D84" s="239">
        <v>3</v>
      </c>
      <c r="E84" s="239">
        <f t="shared" si="10"/>
        <v>-17</v>
      </c>
      <c r="F84" s="238">
        <f t="shared" si="11"/>
        <v>-0.85</v>
      </c>
    </row>
    <row r="85" spans="1:6" ht="20.25" customHeight="1" x14ac:dyDescent="0.3">
      <c r="A85" s="235">
        <v>7</v>
      </c>
      <c r="B85" s="236" t="s">
        <v>450</v>
      </c>
      <c r="C85" s="239">
        <v>5</v>
      </c>
      <c r="D85" s="239">
        <v>5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451</v>
      </c>
      <c r="C86" s="239">
        <v>4</v>
      </c>
      <c r="D86" s="239">
        <v>0</v>
      </c>
      <c r="E86" s="239">
        <f t="shared" si="10"/>
        <v>-4</v>
      </c>
      <c r="F86" s="238">
        <f t="shared" si="11"/>
        <v>-1</v>
      </c>
    </row>
    <row r="87" spans="1:6" ht="20.25" customHeight="1" x14ac:dyDescent="0.3">
      <c r="A87" s="235">
        <v>9</v>
      </c>
      <c r="B87" s="236" t="s">
        <v>452</v>
      </c>
      <c r="C87" s="239">
        <v>4</v>
      </c>
      <c r="D87" s="239">
        <v>1</v>
      </c>
      <c r="E87" s="239">
        <f t="shared" si="10"/>
        <v>-3</v>
      </c>
      <c r="F87" s="238">
        <f t="shared" si="11"/>
        <v>-0.75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88356</v>
      </c>
      <c r="D88" s="243">
        <f>+D79+D81</f>
        <v>20208</v>
      </c>
      <c r="E88" s="243">
        <f t="shared" si="10"/>
        <v>-68148</v>
      </c>
      <c r="F88" s="244">
        <f t="shared" si="11"/>
        <v>-0.77128887681651503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38937</v>
      </c>
      <c r="D89" s="243">
        <f>+D80+D82</f>
        <v>7161</v>
      </c>
      <c r="E89" s="243">
        <f t="shared" si="10"/>
        <v>-31776</v>
      </c>
      <c r="F89" s="244">
        <f t="shared" si="11"/>
        <v>-0.81608752600354417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3850403</v>
      </c>
      <c r="D92" s="237">
        <v>6043646</v>
      </c>
      <c r="E92" s="237">
        <f t="shared" ref="E92:E102" si="12">D92-C92</f>
        <v>2193243</v>
      </c>
      <c r="F92" s="238">
        <f t="shared" ref="F92:F102" si="13">IF(C92=0,0,E92/C92)</f>
        <v>0.56961388197547114</v>
      </c>
    </row>
    <row r="93" spans="1:6" ht="20.25" customHeight="1" x14ac:dyDescent="0.3">
      <c r="A93" s="235">
        <v>2</v>
      </c>
      <c r="B93" s="236" t="s">
        <v>447</v>
      </c>
      <c r="C93" s="237">
        <v>1556890</v>
      </c>
      <c r="D93" s="237">
        <v>2410603</v>
      </c>
      <c r="E93" s="237">
        <f t="shared" si="12"/>
        <v>853713</v>
      </c>
      <c r="F93" s="238">
        <f t="shared" si="13"/>
        <v>0.54834509824072353</v>
      </c>
    </row>
    <row r="94" spans="1:6" ht="20.25" customHeight="1" x14ac:dyDescent="0.3">
      <c r="A94" s="235">
        <v>3</v>
      </c>
      <c r="B94" s="236" t="s">
        <v>448</v>
      </c>
      <c r="C94" s="237">
        <v>3600656</v>
      </c>
      <c r="D94" s="237">
        <v>5541836</v>
      </c>
      <c r="E94" s="237">
        <f t="shared" si="12"/>
        <v>1941180</v>
      </c>
      <c r="F94" s="238">
        <f t="shared" si="13"/>
        <v>0.53911842730880155</v>
      </c>
    </row>
    <row r="95" spans="1:6" ht="20.25" customHeight="1" x14ac:dyDescent="0.3">
      <c r="A95" s="235">
        <v>4</v>
      </c>
      <c r="B95" s="236" t="s">
        <v>449</v>
      </c>
      <c r="C95" s="237">
        <v>818427</v>
      </c>
      <c r="D95" s="237">
        <v>1330734</v>
      </c>
      <c r="E95" s="237">
        <f t="shared" si="12"/>
        <v>512307</v>
      </c>
      <c r="F95" s="238">
        <f t="shared" si="13"/>
        <v>0.62596541902943081</v>
      </c>
    </row>
    <row r="96" spans="1:6" ht="20.25" customHeight="1" x14ac:dyDescent="0.3">
      <c r="A96" s="235">
        <v>5</v>
      </c>
      <c r="B96" s="236" t="s">
        <v>385</v>
      </c>
      <c r="C96" s="239">
        <v>151</v>
      </c>
      <c r="D96" s="239">
        <v>244</v>
      </c>
      <c r="E96" s="239">
        <f t="shared" si="12"/>
        <v>93</v>
      </c>
      <c r="F96" s="238">
        <f t="shared" si="13"/>
        <v>0.61589403973509937</v>
      </c>
    </row>
    <row r="97" spans="1:6" ht="20.25" customHeight="1" x14ac:dyDescent="0.3">
      <c r="A97" s="235">
        <v>6</v>
      </c>
      <c r="B97" s="236" t="s">
        <v>384</v>
      </c>
      <c r="C97" s="239">
        <v>762</v>
      </c>
      <c r="D97" s="239">
        <v>1179</v>
      </c>
      <c r="E97" s="239">
        <f t="shared" si="12"/>
        <v>417</v>
      </c>
      <c r="F97" s="238">
        <f t="shared" si="13"/>
        <v>0.547244094488189</v>
      </c>
    </row>
    <row r="98" spans="1:6" ht="20.25" customHeight="1" x14ac:dyDescent="0.3">
      <c r="A98" s="235">
        <v>7</v>
      </c>
      <c r="B98" s="236" t="s">
        <v>450</v>
      </c>
      <c r="C98" s="239">
        <v>2708</v>
      </c>
      <c r="D98" s="239">
        <v>3392</v>
      </c>
      <c r="E98" s="239">
        <f t="shared" si="12"/>
        <v>684</v>
      </c>
      <c r="F98" s="238">
        <f t="shared" si="13"/>
        <v>0.25258493353028066</v>
      </c>
    </row>
    <row r="99" spans="1:6" ht="20.25" customHeight="1" x14ac:dyDescent="0.3">
      <c r="A99" s="235">
        <v>8</v>
      </c>
      <c r="B99" s="236" t="s">
        <v>451</v>
      </c>
      <c r="C99" s="239">
        <v>273</v>
      </c>
      <c r="D99" s="239">
        <v>327</v>
      </c>
      <c r="E99" s="239">
        <f t="shared" si="12"/>
        <v>54</v>
      </c>
      <c r="F99" s="238">
        <f t="shared" si="13"/>
        <v>0.19780219780219779</v>
      </c>
    </row>
    <row r="100" spans="1:6" ht="20.25" customHeight="1" x14ac:dyDescent="0.3">
      <c r="A100" s="235">
        <v>9</v>
      </c>
      <c r="B100" s="236" t="s">
        <v>452</v>
      </c>
      <c r="C100" s="239">
        <v>118</v>
      </c>
      <c r="D100" s="239">
        <v>187</v>
      </c>
      <c r="E100" s="239">
        <f t="shared" si="12"/>
        <v>69</v>
      </c>
      <c r="F100" s="238">
        <f t="shared" si="13"/>
        <v>0.5847457627118644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7451059</v>
      </c>
      <c r="D101" s="243">
        <f>+D92+D94</f>
        <v>11585482</v>
      </c>
      <c r="E101" s="243">
        <f t="shared" si="12"/>
        <v>4134423</v>
      </c>
      <c r="F101" s="244">
        <f t="shared" si="13"/>
        <v>0.55487723288729829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2375317</v>
      </c>
      <c r="D102" s="243">
        <f>+D93+D95</f>
        <v>3741337</v>
      </c>
      <c r="E102" s="243">
        <f t="shared" si="12"/>
        <v>1366020</v>
      </c>
      <c r="F102" s="244">
        <f t="shared" si="13"/>
        <v>0.57508955646762094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447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448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449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385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384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450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451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452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128404</v>
      </c>
      <c r="D118" s="237">
        <v>42439</v>
      </c>
      <c r="E118" s="237">
        <f t="shared" ref="E118:E128" si="16">D118-C118</f>
        <v>-85965</v>
      </c>
      <c r="F118" s="238">
        <f t="shared" ref="F118:F128" si="17">IF(C118=0,0,E118/C118)</f>
        <v>-0.66948848945515715</v>
      </c>
    </row>
    <row r="119" spans="1:6" ht="20.25" customHeight="1" x14ac:dyDescent="0.3">
      <c r="A119" s="235">
        <v>2</v>
      </c>
      <c r="B119" s="236" t="s">
        <v>447</v>
      </c>
      <c r="C119" s="237">
        <v>60121</v>
      </c>
      <c r="D119" s="237">
        <v>20565</v>
      </c>
      <c r="E119" s="237">
        <f t="shared" si="16"/>
        <v>-39556</v>
      </c>
      <c r="F119" s="238">
        <f t="shared" si="17"/>
        <v>-0.65793982136025686</v>
      </c>
    </row>
    <row r="120" spans="1:6" ht="20.25" customHeight="1" x14ac:dyDescent="0.3">
      <c r="A120" s="235">
        <v>3</v>
      </c>
      <c r="B120" s="236" t="s">
        <v>448</v>
      </c>
      <c r="C120" s="237">
        <v>53421</v>
      </c>
      <c r="D120" s="237">
        <v>81000</v>
      </c>
      <c r="E120" s="237">
        <f t="shared" si="16"/>
        <v>27579</v>
      </c>
      <c r="F120" s="238">
        <f t="shared" si="17"/>
        <v>0.51625765148537095</v>
      </c>
    </row>
    <row r="121" spans="1:6" ht="20.25" customHeight="1" x14ac:dyDescent="0.3">
      <c r="A121" s="235">
        <v>4</v>
      </c>
      <c r="B121" s="236" t="s">
        <v>449</v>
      </c>
      <c r="C121" s="237">
        <v>12498</v>
      </c>
      <c r="D121" s="237">
        <v>16799</v>
      </c>
      <c r="E121" s="237">
        <f t="shared" si="16"/>
        <v>4301</v>
      </c>
      <c r="F121" s="238">
        <f t="shared" si="17"/>
        <v>0.34413506160985757</v>
      </c>
    </row>
    <row r="122" spans="1:6" ht="20.25" customHeight="1" x14ac:dyDescent="0.3">
      <c r="A122" s="235">
        <v>5</v>
      </c>
      <c r="B122" s="236" t="s">
        <v>385</v>
      </c>
      <c r="C122" s="239">
        <v>7</v>
      </c>
      <c r="D122" s="239">
        <v>2</v>
      </c>
      <c r="E122" s="239">
        <f t="shared" si="16"/>
        <v>-5</v>
      </c>
      <c r="F122" s="238">
        <f t="shared" si="17"/>
        <v>-0.7142857142857143</v>
      </c>
    </row>
    <row r="123" spans="1:6" ht="20.25" customHeight="1" x14ac:dyDescent="0.3">
      <c r="A123" s="235">
        <v>6</v>
      </c>
      <c r="B123" s="236" t="s">
        <v>384</v>
      </c>
      <c r="C123" s="239">
        <v>29</v>
      </c>
      <c r="D123" s="239">
        <v>5</v>
      </c>
      <c r="E123" s="239">
        <f t="shared" si="16"/>
        <v>-24</v>
      </c>
      <c r="F123" s="238">
        <f t="shared" si="17"/>
        <v>-0.82758620689655171</v>
      </c>
    </row>
    <row r="124" spans="1:6" ht="20.25" customHeight="1" x14ac:dyDescent="0.3">
      <c r="A124" s="235">
        <v>7</v>
      </c>
      <c r="B124" s="236" t="s">
        <v>450</v>
      </c>
      <c r="C124" s="239">
        <v>66</v>
      </c>
      <c r="D124" s="239">
        <v>122</v>
      </c>
      <c r="E124" s="239">
        <f t="shared" si="16"/>
        <v>56</v>
      </c>
      <c r="F124" s="238">
        <f t="shared" si="17"/>
        <v>0.84848484848484851</v>
      </c>
    </row>
    <row r="125" spans="1:6" ht="20.25" customHeight="1" x14ac:dyDescent="0.3">
      <c r="A125" s="235">
        <v>8</v>
      </c>
      <c r="B125" s="236" t="s">
        <v>451</v>
      </c>
      <c r="C125" s="239">
        <v>6</v>
      </c>
      <c r="D125" s="239">
        <v>6</v>
      </c>
      <c r="E125" s="239">
        <f t="shared" si="16"/>
        <v>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452</v>
      </c>
      <c r="C126" s="239">
        <v>6</v>
      </c>
      <c r="D126" s="239">
        <v>1</v>
      </c>
      <c r="E126" s="239">
        <f t="shared" si="16"/>
        <v>-5</v>
      </c>
      <c r="F126" s="238">
        <f t="shared" si="17"/>
        <v>-0.83333333333333337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181825</v>
      </c>
      <c r="D127" s="243">
        <f>+D118+D120</f>
        <v>123439</v>
      </c>
      <c r="E127" s="243">
        <f t="shared" si="16"/>
        <v>-58386</v>
      </c>
      <c r="F127" s="244">
        <f t="shared" si="17"/>
        <v>-0.32111095833906228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72619</v>
      </c>
      <c r="D128" s="243">
        <f>+D119+D121</f>
        <v>37364</v>
      </c>
      <c r="E128" s="243">
        <f t="shared" si="16"/>
        <v>-35255</v>
      </c>
      <c r="F128" s="244">
        <f t="shared" si="17"/>
        <v>-0.48547900687147993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447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448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449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385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451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53609</v>
      </c>
      <c r="D183" s="237">
        <v>13296</v>
      </c>
      <c r="E183" s="237">
        <f t="shared" ref="E183:E193" si="26">D183-C183</f>
        <v>-40313</v>
      </c>
      <c r="F183" s="238">
        <f t="shared" ref="F183:F193" si="27">IF(C183=0,0,E183/C183)</f>
        <v>-0.75198194333041091</v>
      </c>
    </row>
    <row r="184" spans="1:6" ht="20.25" customHeight="1" x14ac:dyDescent="0.3">
      <c r="A184" s="235">
        <v>2</v>
      </c>
      <c r="B184" s="236" t="s">
        <v>447</v>
      </c>
      <c r="C184" s="237">
        <v>19043</v>
      </c>
      <c r="D184" s="237">
        <v>5310</v>
      </c>
      <c r="E184" s="237">
        <f t="shared" si="26"/>
        <v>-13733</v>
      </c>
      <c r="F184" s="238">
        <f t="shared" si="27"/>
        <v>-0.72115738066481117</v>
      </c>
    </row>
    <row r="185" spans="1:6" ht="20.25" customHeight="1" x14ac:dyDescent="0.3">
      <c r="A185" s="235">
        <v>3</v>
      </c>
      <c r="B185" s="236" t="s">
        <v>448</v>
      </c>
      <c r="C185" s="237">
        <v>28796</v>
      </c>
      <c r="D185" s="237">
        <v>6654</v>
      </c>
      <c r="E185" s="237">
        <f t="shared" si="26"/>
        <v>-22142</v>
      </c>
      <c r="F185" s="238">
        <f t="shared" si="27"/>
        <v>-0.76892623975552155</v>
      </c>
    </row>
    <row r="186" spans="1:6" ht="20.25" customHeight="1" x14ac:dyDescent="0.3">
      <c r="A186" s="235">
        <v>4</v>
      </c>
      <c r="B186" s="236" t="s">
        <v>449</v>
      </c>
      <c r="C186" s="237">
        <v>8249</v>
      </c>
      <c r="D186" s="237">
        <v>1854</v>
      </c>
      <c r="E186" s="237">
        <f t="shared" si="26"/>
        <v>-6395</v>
      </c>
      <c r="F186" s="238">
        <f t="shared" si="27"/>
        <v>-0.77524548430112739</v>
      </c>
    </row>
    <row r="187" spans="1:6" ht="20.25" customHeight="1" x14ac:dyDescent="0.3">
      <c r="A187" s="235">
        <v>5</v>
      </c>
      <c r="B187" s="236" t="s">
        <v>385</v>
      </c>
      <c r="C187" s="239">
        <v>3</v>
      </c>
      <c r="D187" s="239">
        <v>1</v>
      </c>
      <c r="E187" s="239">
        <f t="shared" si="26"/>
        <v>-2</v>
      </c>
      <c r="F187" s="238">
        <f t="shared" si="27"/>
        <v>-0.66666666666666663</v>
      </c>
    </row>
    <row r="188" spans="1:6" ht="20.25" customHeight="1" x14ac:dyDescent="0.3">
      <c r="A188" s="235">
        <v>6</v>
      </c>
      <c r="B188" s="236" t="s">
        <v>384</v>
      </c>
      <c r="C188" s="239">
        <v>10</v>
      </c>
      <c r="D188" s="239">
        <v>5</v>
      </c>
      <c r="E188" s="239">
        <f t="shared" si="26"/>
        <v>-5</v>
      </c>
      <c r="F188" s="238">
        <f t="shared" si="27"/>
        <v>-0.5</v>
      </c>
    </row>
    <row r="189" spans="1:6" ht="20.25" customHeight="1" x14ac:dyDescent="0.3">
      <c r="A189" s="235">
        <v>7</v>
      </c>
      <c r="B189" s="236" t="s">
        <v>450</v>
      </c>
      <c r="C189" s="239">
        <v>25</v>
      </c>
      <c r="D189" s="239">
        <v>7</v>
      </c>
      <c r="E189" s="239">
        <f t="shared" si="26"/>
        <v>-18</v>
      </c>
      <c r="F189" s="238">
        <f t="shared" si="27"/>
        <v>-0.72</v>
      </c>
    </row>
    <row r="190" spans="1:6" ht="20.25" customHeight="1" x14ac:dyDescent="0.3">
      <c r="A190" s="235">
        <v>8</v>
      </c>
      <c r="B190" s="236" t="s">
        <v>451</v>
      </c>
      <c r="C190" s="239">
        <v>6</v>
      </c>
      <c r="D190" s="239">
        <v>2</v>
      </c>
      <c r="E190" s="239">
        <f t="shared" si="26"/>
        <v>-4</v>
      </c>
      <c r="F190" s="238">
        <f t="shared" si="27"/>
        <v>-0.66666666666666663</v>
      </c>
    </row>
    <row r="191" spans="1:6" ht="20.25" customHeight="1" x14ac:dyDescent="0.3">
      <c r="A191" s="235">
        <v>9</v>
      </c>
      <c r="B191" s="236" t="s">
        <v>452</v>
      </c>
      <c r="C191" s="239">
        <v>3</v>
      </c>
      <c r="D191" s="239">
        <v>1</v>
      </c>
      <c r="E191" s="239">
        <f t="shared" si="26"/>
        <v>-2</v>
      </c>
      <c r="F191" s="238">
        <f t="shared" si="27"/>
        <v>-0.66666666666666663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82405</v>
      </c>
      <c r="D192" s="243">
        <f>+D183+D185</f>
        <v>19950</v>
      </c>
      <c r="E192" s="243">
        <f t="shared" si="26"/>
        <v>-62455</v>
      </c>
      <c r="F192" s="244">
        <f t="shared" si="27"/>
        <v>-0.75790303986408591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27292</v>
      </c>
      <c r="D193" s="243">
        <f>+D184+D186</f>
        <v>7164</v>
      </c>
      <c r="E193" s="243">
        <f t="shared" si="26"/>
        <v>-20128</v>
      </c>
      <c r="F193" s="244">
        <f t="shared" si="27"/>
        <v>-0.73750549611607796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74" t="s">
        <v>44</v>
      </c>
      <c r="B195" s="676" t="s">
        <v>471</v>
      </c>
      <c r="C195" s="678"/>
      <c r="D195" s="679"/>
      <c r="E195" s="679"/>
      <c r="F195" s="680"/>
      <c r="G195" s="684"/>
      <c r="H195" s="684"/>
      <c r="I195" s="684"/>
    </row>
    <row r="196" spans="1:9" ht="20.25" customHeight="1" x14ac:dyDescent="0.3">
      <c r="A196" s="675"/>
      <c r="B196" s="677"/>
      <c r="C196" s="681"/>
      <c r="D196" s="682"/>
      <c r="E196" s="682"/>
      <c r="F196" s="683"/>
      <c r="G196" s="684"/>
      <c r="H196" s="684"/>
      <c r="I196" s="68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13962365</v>
      </c>
      <c r="D198" s="243">
        <f t="shared" si="28"/>
        <v>16276648</v>
      </c>
      <c r="E198" s="243">
        <f t="shared" ref="E198:E208" si="29">D198-C198</f>
        <v>2314283</v>
      </c>
      <c r="F198" s="251">
        <f t="shared" ref="F198:F208" si="30">IF(C198=0,0,E198/C198)</f>
        <v>0.16575150413271678</v>
      </c>
    </row>
    <row r="199" spans="1:9" ht="20.25" customHeight="1" x14ac:dyDescent="0.3">
      <c r="A199" s="249"/>
      <c r="B199" s="250" t="s">
        <v>473</v>
      </c>
      <c r="C199" s="243">
        <f t="shared" si="28"/>
        <v>5790541</v>
      </c>
      <c r="D199" s="243">
        <f t="shared" si="28"/>
        <v>6684346</v>
      </c>
      <c r="E199" s="243">
        <f t="shared" si="29"/>
        <v>893805</v>
      </c>
      <c r="F199" s="251">
        <f t="shared" si="30"/>
        <v>0.15435604376171413</v>
      </c>
    </row>
    <row r="200" spans="1:9" ht="20.25" customHeight="1" x14ac:dyDescent="0.3">
      <c r="A200" s="249"/>
      <c r="B200" s="250" t="s">
        <v>474</v>
      </c>
      <c r="C200" s="243">
        <f t="shared" si="28"/>
        <v>14343367</v>
      </c>
      <c r="D200" s="243">
        <f t="shared" si="28"/>
        <v>18976421</v>
      </c>
      <c r="E200" s="243">
        <f t="shared" si="29"/>
        <v>4633054</v>
      </c>
      <c r="F200" s="251">
        <f t="shared" si="30"/>
        <v>0.32301021092188464</v>
      </c>
    </row>
    <row r="201" spans="1:9" ht="20.25" customHeight="1" x14ac:dyDescent="0.3">
      <c r="A201" s="249"/>
      <c r="B201" s="250" t="s">
        <v>475</v>
      </c>
      <c r="C201" s="243">
        <f t="shared" si="28"/>
        <v>3294352</v>
      </c>
      <c r="D201" s="243">
        <f t="shared" si="28"/>
        <v>4556262</v>
      </c>
      <c r="E201" s="243">
        <f t="shared" si="29"/>
        <v>1261910</v>
      </c>
      <c r="F201" s="251">
        <f t="shared" si="30"/>
        <v>0.38305256997430753</v>
      </c>
    </row>
    <row r="202" spans="1:9" ht="20.25" customHeight="1" x14ac:dyDescent="0.3">
      <c r="A202" s="249"/>
      <c r="B202" s="250" t="s">
        <v>476</v>
      </c>
      <c r="C202" s="252">
        <f t="shared" si="28"/>
        <v>583</v>
      </c>
      <c r="D202" s="252">
        <f t="shared" si="28"/>
        <v>721</v>
      </c>
      <c r="E202" s="252">
        <f t="shared" si="29"/>
        <v>138</v>
      </c>
      <c r="F202" s="251">
        <f t="shared" si="30"/>
        <v>0.23670668953687821</v>
      </c>
    </row>
    <row r="203" spans="1:9" ht="20.25" customHeight="1" x14ac:dyDescent="0.3">
      <c r="A203" s="249"/>
      <c r="B203" s="250" t="s">
        <v>477</v>
      </c>
      <c r="C203" s="252">
        <f t="shared" si="28"/>
        <v>2805</v>
      </c>
      <c r="D203" s="252">
        <f t="shared" si="28"/>
        <v>3279</v>
      </c>
      <c r="E203" s="252">
        <f t="shared" si="29"/>
        <v>474</v>
      </c>
      <c r="F203" s="251">
        <f t="shared" si="30"/>
        <v>0.16898395721925133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10167</v>
      </c>
      <c r="D204" s="252">
        <f t="shared" si="28"/>
        <v>12540</v>
      </c>
      <c r="E204" s="252">
        <f t="shared" si="29"/>
        <v>2373</v>
      </c>
      <c r="F204" s="251">
        <f t="shared" si="30"/>
        <v>0.23340218353496606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875</v>
      </c>
      <c r="D205" s="252">
        <f t="shared" si="28"/>
        <v>1018</v>
      </c>
      <c r="E205" s="252">
        <f t="shared" si="29"/>
        <v>143</v>
      </c>
      <c r="F205" s="251">
        <f t="shared" si="30"/>
        <v>0.16342857142857142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432</v>
      </c>
      <c r="D206" s="252">
        <f t="shared" si="28"/>
        <v>556</v>
      </c>
      <c r="E206" s="252">
        <f t="shared" si="29"/>
        <v>124</v>
      </c>
      <c r="F206" s="251">
        <f t="shared" si="30"/>
        <v>0.28703703703703703</v>
      </c>
    </row>
    <row r="207" spans="1:9" ht="20.25" customHeight="1" x14ac:dyDescent="0.3">
      <c r="A207" s="249"/>
      <c r="B207" s="242" t="s">
        <v>481</v>
      </c>
      <c r="C207" s="243">
        <f>+C198+C200</f>
        <v>28305732</v>
      </c>
      <c r="D207" s="243">
        <f>+D198+D200</f>
        <v>35253069</v>
      </c>
      <c r="E207" s="243">
        <f t="shared" si="29"/>
        <v>6947337</v>
      </c>
      <c r="F207" s="251">
        <f t="shared" si="30"/>
        <v>0.24543922764477527</v>
      </c>
    </row>
    <row r="208" spans="1:9" ht="20.25" customHeight="1" x14ac:dyDescent="0.3">
      <c r="A208" s="249"/>
      <c r="B208" s="242" t="s">
        <v>482</v>
      </c>
      <c r="C208" s="243">
        <f>+C199+C201</f>
        <v>9084893</v>
      </c>
      <c r="D208" s="243">
        <f>+D199+D201</f>
        <v>11240608</v>
      </c>
      <c r="E208" s="243">
        <f t="shared" si="29"/>
        <v>2155715</v>
      </c>
      <c r="F208" s="251">
        <f t="shared" si="30"/>
        <v>0.23728567854348973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FILING&amp;RWILLIAM W. BACKUS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483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74" t="s">
        <v>12</v>
      </c>
      <c r="B10" s="676" t="s">
        <v>115</v>
      </c>
      <c r="C10" s="678"/>
      <c r="D10" s="679"/>
      <c r="E10" s="679"/>
      <c r="F10" s="680"/>
    </row>
    <row r="11" spans="1:7" ht="20.25" customHeight="1" x14ac:dyDescent="0.3">
      <c r="A11" s="675"/>
      <c r="B11" s="677"/>
      <c r="C11" s="681"/>
      <c r="D11" s="682"/>
      <c r="E11" s="682"/>
      <c r="F11" s="683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7968729</v>
      </c>
      <c r="D26" s="237">
        <v>2072872</v>
      </c>
      <c r="E26" s="237">
        <f t="shared" ref="E26:E36" si="2">D26-C26</f>
        <v>-5895857</v>
      </c>
      <c r="F26" s="238">
        <f t="shared" ref="F26:F36" si="3">IF(C26=0,0,E26/C26)</f>
        <v>-0.73987420076652122</v>
      </c>
    </row>
    <row r="27" spans="1:6" ht="20.25" customHeight="1" x14ac:dyDescent="0.3">
      <c r="A27" s="235">
        <v>2</v>
      </c>
      <c r="B27" s="236" t="s">
        <v>447</v>
      </c>
      <c r="C27" s="237">
        <v>2278846</v>
      </c>
      <c r="D27" s="237">
        <v>506740</v>
      </c>
      <c r="E27" s="237">
        <f t="shared" si="2"/>
        <v>-1772106</v>
      </c>
      <c r="F27" s="238">
        <f t="shared" si="3"/>
        <v>-0.77763306515666264</v>
      </c>
    </row>
    <row r="28" spans="1:6" ht="20.25" customHeight="1" x14ac:dyDescent="0.3">
      <c r="A28" s="235">
        <v>3</v>
      </c>
      <c r="B28" s="236" t="s">
        <v>448</v>
      </c>
      <c r="C28" s="237">
        <v>21294421</v>
      </c>
      <c r="D28" s="237">
        <v>5609912</v>
      </c>
      <c r="E28" s="237">
        <f t="shared" si="2"/>
        <v>-15684509</v>
      </c>
      <c r="F28" s="238">
        <f t="shared" si="3"/>
        <v>-0.73655484692445972</v>
      </c>
    </row>
    <row r="29" spans="1:6" ht="20.25" customHeight="1" x14ac:dyDescent="0.3">
      <c r="A29" s="235">
        <v>4</v>
      </c>
      <c r="B29" s="236" t="s">
        <v>449</v>
      </c>
      <c r="C29" s="237">
        <v>6137666</v>
      </c>
      <c r="D29" s="237">
        <v>1592945</v>
      </c>
      <c r="E29" s="237">
        <f t="shared" si="2"/>
        <v>-4544721</v>
      </c>
      <c r="F29" s="238">
        <f t="shared" si="3"/>
        <v>-0.7404640461048223</v>
      </c>
    </row>
    <row r="30" spans="1:6" ht="20.25" customHeight="1" x14ac:dyDescent="0.3">
      <c r="A30" s="235">
        <v>5</v>
      </c>
      <c r="B30" s="236" t="s">
        <v>385</v>
      </c>
      <c r="C30" s="239">
        <v>778</v>
      </c>
      <c r="D30" s="239">
        <v>158</v>
      </c>
      <c r="E30" s="239">
        <f t="shared" si="2"/>
        <v>-620</v>
      </c>
      <c r="F30" s="238">
        <f t="shared" si="3"/>
        <v>-0.79691516709511567</v>
      </c>
    </row>
    <row r="31" spans="1:6" ht="20.25" customHeight="1" x14ac:dyDescent="0.3">
      <c r="A31" s="235">
        <v>6</v>
      </c>
      <c r="B31" s="236" t="s">
        <v>384</v>
      </c>
      <c r="C31" s="239">
        <v>1957</v>
      </c>
      <c r="D31" s="239">
        <v>416</v>
      </c>
      <c r="E31" s="239">
        <f t="shared" si="2"/>
        <v>-1541</v>
      </c>
      <c r="F31" s="238">
        <f t="shared" si="3"/>
        <v>-0.78742973939703631</v>
      </c>
    </row>
    <row r="32" spans="1:6" ht="20.25" customHeight="1" x14ac:dyDescent="0.3">
      <c r="A32" s="235">
        <v>7</v>
      </c>
      <c r="B32" s="236" t="s">
        <v>450</v>
      </c>
      <c r="C32" s="239">
        <v>10819</v>
      </c>
      <c r="D32" s="239">
        <v>2784</v>
      </c>
      <c r="E32" s="239">
        <f t="shared" si="2"/>
        <v>-8035</v>
      </c>
      <c r="F32" s="238">
        <f t="shared" si="3"/>
        <v>-0.742674923745263</v>
      </c>
    </row>
    <row r="33" spans="1:6" ht="20.25" customHeight="1" x14ac:dyDescent="0.3">
      <c r="A33" s="235">
        <v>8</v>
      </c>
      <c r="B33" s="236" t="s">
        <v>451</v>
      </c>
      <c r="C33" s="239">
        <v>8224</v>
      </c>
      <c r="D33" s="239">
        <v>2094</v>
      </c>
      <c r="E33" s="239">
        <f t="shared" si="2"/>
        <v>-6130</v>
      </c>
      <c r="F33" s="238">
        <f t="shared" si="3"/>
        <v>-0.74537937743190663</v>
      </c>
    </row>
    <row r="34" spans="1:6" ht="20.25" customHeight="1" x14ac:dyDescent="0.3">
      <c r="A34" s="235">
        <v>9</v>
      </c>
      <c r="B34" s="236" t="s">
        <v>452</v>
      </c>
      <c r="C34" s="239">
        <v>138</v>
      </c>
      <c r="D34" s="239">
        <v>53</v>
      </c>
      <c r="E34" s="239">
        <f t="shared" si="2"/>
        <v>-85</v>
      </c>
      <c r="F34" s="238">
        <f t="shared" si="3"/>
        <v>-0.61594202898550721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29263150</v>
      </c>
      <c r="D35" s="243">
        <f>+D26+D28</f>
        <v>7682784</v>
      </c>
      <c r="E35" s="243">
        <f t="shared" si="2"/>
        <v>-21580366</v>
      </c>
      <c r="F35" s="244">
        <f t="shared" si="3"/>
        <v>-0.7374587493144108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8416512</v>
      </c>
      <c r="D36" s="243">
        <f>+D27+D29</f>
        <v>2099685</v>
      </c>
      <c r="E36" s="243">
        <f t="shared" si="2"/>
        <v>-6316827</v>
      </c>
      <c r="F36" s="244">
        <f t="shared" si="3"/>
        <v>-0.75052789088876726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3071506</v>
      </c>
      <c r="D50" s="237">
        <v>937167</v>
      </c>
      <c r="E50" s="237">
        <f t="shared" ref="E50:E60" si="6">D50-C50</f>
        <v>-2134339</v>
      </c>
      <c r="F50" s="238">
        <f t="shared" ref="F50:F60" si="7">IF(C50=0,0,E50/C50)</f>
        <v>-0.69488355223789244</v>
      </c>
    </row>
    <row r="51" spans="1:6" ht="20.25" customHeight="1" x14ac:dyDescent="0.3">
      <c r="A51" s="235">
        <v>2</v>
      </c>
      <c r="B51" s="236" t="s">
        <v>447</v>
      </c>
      <c r="C51" s="237">
        <v>1028637</v>
      </c>
      <c r="D51" s="237">
        <v>312303</v>
      </c>
      <c r="E51" s="237">
        <f t="shared" si="6"/>
        <v>-716334</v>
      </c>
      <c r="F51" s="238">
        <f t="shared" si="7"/>
        <v>-0.69639143837913664</v>
      </c>
    </row>
    <row r="52" spans="1:6" ht="20.25" customHeight="1" x14ac:dyDescent="0.3">
      <c r="A52" s="235">
        <v>3</v>
      </c>
      <c r="B52" s="236" t="s">
        <v>448</v>
      </c>
      <c r="C52" s="237">
        <v>4515139</v>
      </c>
      <c r="D52" s="237">
        <v>1393172</v>
      </c>
      <c r="E52" s="237">
        <f t="shared" si="6"/>
        <v>-3121967</v>
      </c>
      <c r="F52" s="238">
        <f t="shared" si="7"/>
        <v>-0.69144427225828486</v>
      </c>
    </row>
    <row r="53" spans="1:6" ht="20.25" customHeight="1" x14ac:dyDescent="0.3">
      <c r="A53" s="235">
        <v>4</v>
      </c>
      <c r="B53" s="236" t="s">
        <v>449</v>
      </c>
      <c r="C53" s="237">
        <v>1194953</v>
      </c>
      <c r="D53" s="237">
        <v>351060</v>
      </c>
      <c r="E53" s="237">
        <f t="shared" si="6"/>
        <v>-843893</v>
      </c>
      <c r="F53" s="238">
        <f t="shared" si="7"/>
        <v>-0.70621438667462233</v>
      </c>
    </row>
    <row r="54" spans="1:6" ht="20.25" customHeight="1" x14ac:dyDescent="0.3">
      <c r="A54" s="235">
        <v>5</v>
      </c>
      <c r="B54" s="236" t="s">
        <v>385</v>
      </c>
      <c r="C54" s="239">
        <v>271</v>
      </c>
      <c r="D54" s="239">
        <v>61</v>
      </c>
      <c r="E54" s="239">
        <f t="shared" si="6"/>
        <v>-210</v>
      </c>
      <c r="F54" s="238">
        <f t="shared" si="7"/>
        <v>-0.77490774907749083</v>
      </c>
    </row>
    <row r="55" spans="1:6" ht="20.25" customHeight="1" x14ac:dyDescent="0.3">
      <c r="A55" s="235">
        <v>6</v>
      </c>
      <c r="B55" s="236" t="s">
        <v>384</v>
      </c>
      <c r="C55" s="239">
        <v>1029</v>
      </c>
      <c r="D55" s="239">
        <v>301</v>
      </c>
      <c r="E55" s="239">
        <f t="shared" si="6"/>
        <v>-728</v>
      </c>
      <c r="F55" s="238">
        <f t="shared" si="7"/>
        <v>-0.70748299319727892</v>
      </c>
    </row>
    <row r="56" spans="1:6" ht="20.25" customHeight="1" x14ac:dyDescent="0.3">
      <c r="A56" s="235">
        <v>7</v>
      </c>
      <c r="B56" s="236" t="s">
        <v>450</v>
      </c>
      <c r="C56" s="239">
        <v>2141</v>
      </c>
      <c r="D56" s="239">
        <v>646</v>
      </c>
      <c r="E56" s="239">
        <f t="shared" si="6"/>
        <v>-1495</v>
      </c>
      <c r="F56" s="238">
        <f t="shared" si="7"/>
        <v>-0.69827183559084538</v>
      </c>
    </row>
    <row r="57" spans="1:6" ht="20.25" customHeight="1" x14ac:dyDescent="0.3">
      <c r="A57" s="235">
        <v>8</v>
      </c>
      <c r="B57" s="236" t="s">
        <v>451</v>
      </c>
      <c r="C57" s="239">
        <v>1723</v>
      </c>
      <c r="D57" s="239">
        <v>448</v>
      </c>
      <c r="E57" s="239">
        <f t="shared" si="6"/>
        <v>-1275</v>
      </c>
      <c r="F57" s="238">
        <f t="shared" si="7"/>
        <v>-0.73998839233894376</v>
      </c>
    </row>
    <row r="58" spans="1:6" ht="20.25" customHeight="1" x14ac:dyDescent="0.3">
      <c r="A58" s="235">
        <v>9</v>
      </c>
      <c r="B58" s="236" t="s">
        <v>452</v>
      </c>
      <c r="C58" s="239">
        <v>95</v>
      </c>
      <c r="D58" s="239">
        <v>36</v>
      </c>
      <c r="E58" s="239">
        <f t="shared" si="6"/>
        <v>-59</v>
      </c>
      <c r="F58" s="238">
        <f t="shared" si="7"/>
        <v>-0.62105263157894741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7586645</v>
      </c>
      <c r="D59" s="243">
        <f>+D50+D52</f>
        <v>2330339</v>
      </c>
      <c r="E59" s="243">
        <f t="shared" si="6"/>
        <v>-5256306</v>
      </c>
      <c r="F59" s="244">
        <f t="shared" si="7"/>
        <v>-0.69283668868122861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2223590</v>
      </c>
      <c r="D60" s="243">
        <f>+D51+D53</f>
        <v>663363</v>
      </c>
      <c r="E60" s="243">
        <f t="shared" si="6"/>
        <v>-1560227</v>
      </c>
      <c r="F60" s="244">
        <f t="shared" si="7"/>
        <v>-0.70167027194761622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447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448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449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385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384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450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451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452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1259360</v>
      </c>
      <c r="D98" s="237">
        <v>150060</v>
      </c>
      <c r="E98" s="237">
        <f t="shared" ref="E98:E108" si="14">D98-C98</f>
        <v>-1109300</v>
      </c>
      <c r="F98" s="238">
        <f t="shared" ref="F98:F108" si="15">IF(C98=0,0,E98/C98)</f>
        <v>-0.88084423834328551</v>
      </c>
    </row>
    <row r="99" spans="1:7" ht="20.25" customHeight="1" x14ac:dyDescent="0.3">
      <c r="A99" s="235">
        <v>2</v>
      </c>
      <c r="B99" s="236" t="s">
        <v>447</v>
      </c>
      <c r="C99" s="237">
        <v>291102</v>
      </c>
      <c r="D99" s="237">
        <v>41934</v>
      </c>
      <c r="E99" s="237">
        <f t="shared" si="14"/>
        <v>-249168</v>
      </c>
      <c r="F99" s="238">
        <f t="shared" si="15"/>
        <v>-0.85594739988045432</v>
      </c>
    </row>
    <row r="100" spans="1:7" ht="20.25" customHeight="1" x14ac:dyDescent="0.3">
      <c r="A100" s="235">
        <v>3</v>
      </c>
      <c r="B100" s="236" t="s">
        <v>448</v>
      </c>
      <c r="C100" s="237">
        <v>4145634</v>
      </c>
      <c r="D100" s="237">
        <v>859818</v>
      </c>
      <c r="E100" s="237">
        <f t="shared" si="14"/>
        <v>-3285816</v>
      </c>
      <c r="F100" s="238">
        <f t="shared" si="15"/>
        <v>-0.79259674153579407</v>
      </c>
    </row>
    <row r="101" spans="1:7" ht="20.25" customHeight="1" x14ac:dyDescent="0.3">
      <c r="A101" s="235">
        <v>4</v>
      </c>
      <c r="B101" s="236" t="s">
        <v>449</v>
      </c>
      <c r="C101" s="237">
        <v>1079365</v>
      </c>
      <c r="D101" s="237">
        <v>213861</v>
      </c>
      <c r="E101" s="237">
        <f t="shared" si="14"/>
        <v>-865504</v>
      </c>
      <c r="F101" s="238">
        <f t="shared" si="15"/>
        <v>-0.80186405896059254</v>
      </c>
    </row>
    <row r="102" spans="1:7" ht="20.25" customHeight="1" x14ac:dyDescent="0.3">
      <c r="A102" s="235">
        <v>5</v>
      </c>
      <c r="B102" s="236" t="s">
        <v>385</v>
      </c>
      <c r="C102" s="239">
        <v>64</v>
      </c>
      <c r="D102" s="239">
        <v>12</v>
      </c>
      <c r="E102" s="239">
        <f t="shared" si="14"/>
        <v>-52</v>
      </c>
      <c r="F102" s="238">
        <f t="shared" si="15"/>
        <v>-0.8125</v>
      </c>
    </row>
    <row r="103" spans="1:7" ht="20.25" customHeight="1" x14ac:dyDescent="0.3">
      <c r="A103" s="235">
        <v>6</v>
      </c>
      <c r="B103" s="236" t="s">
        <v>384</v>
      </c>
      <c r="C103" s="239">
        <v>250</v>
      </c>
      <c r="D103" s="239">
        <v>31</v>
      </c>
      <c r="E103" s="239">
        <f t="shared" si="14"/>
        <v>-219</v>
      </c>
      <c r="F103" s="238">
        <f t="shared" si="15"/>
        <v>-0.876</v>
      </c>
    </row>
    <row r="104" spans="1:7" ht="20.25" customHeight="1" x14ac:dyDescent="0.3">
      <c r="A104" s="235">
        <v>7</v>
      </c>
      <c r="B104" s="236" t="s">
        <v>450</v>
      </c>
      <c r="C104" s="239">
        <v>1572</v>
      </c>
      <c r="D104" s="239">
        <v>350</v>
      </c>
      <c r="E104" s="239">
        <f t="shared" si="14"/>
        <v>-1222</v>
      </c>
      <c r="F104" s="238">
        <f t="shared" si="15"/>
        <v>-0.77735368956743001</v>
      </c>
    </row>
    <row r="105" spans="1:7" ht="20.25" customHeight="1" x14ac:dyDescent="0.3">
      <c r="A105" s="235">
        <v>8</v>
      </c>
      <c r="B105" s="236" t="s">
        <v>451</v>
      </c>
      <c r="C105" s="239">
        <v>1766</v>
      </c>
      <c r="D105" s="239">
        <v>397</v>
      </c>
      <c r="E105" s="239">
        <f t="shared" si="14"/>
        <v>-1369</v>
      </c>
      <c r="F105" s="238">
        <f t="shared" si="15"/>
        <v>-0.77519818799547002</v>
      </c>
    </row>
    <row r="106" spans="1:7" ht="20.25" customHeight="1" x14ac:dyDescent="0.3">
      <c r="A106" s="235">
        <v>9</v>
      </c>
      <c r="B106" s="236" t="s">
        <v>452</v>
      </c>
      <c r="C106" s="239">
        <v>39</v>
      </c>
      <c r="D106" s="239">
        <v>12</v>
      </c>
      <c r="E106" s="239">
        <f t="shared" si="14"/>
        <v>-27</v>
      </c>
      <c r="F106" s="238">
        <f t="shared" si="15"/>
        <v>-0.69230769230769229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5404994</v>
      </c>
      <c r="D107" s="243">
        <f>+D98+D100</f>
        <v>1009878</v>
      </c>
      <c r="E107" s="243">
        <f t="shared" si="14"/>
        <v>-4395116</v>
      </c>
      <c r="F107" s="244">
        <f t="shared" si="15"/>
        <v>-0.81315834948197907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1370467</v>
      </c>
      <c r="D108" s="243">
        <f>+D99+D101</f>
        <v>255795</v>
      </c>
      <c r="E108" s="243">
        <f t="shared" si="14"/>
        <v>-1114672</v>
      </c>
      <c r="F108" s="244">
        <f t="shared" si="15"/>
        <v>-0.81335194499393271</v>
      </c>
    </row>
    <row r="109" spans="1:7" s="240" customFormat="1" ht="20.25" customHeight="1" x14ac:dyDescent="0.3">
      <c r="A109" s="674" t="s">
        <v>44</v>
      </c>
      <c r="B109" s="676" t="s">
        <v>490</v>
      </c>
      <c r="C109" s="678"/>
      <c r="D109" s="679"/>
      <c r="E109" s="679"/>
      <c r="F109" s="680"/>
      <c r="G109" s="212"/>
    </row>
    <row r="110" spans="1:7" ht="20.25" customHeight="1" x14ac:dyDescent="0.3">
      <c r="A110" s="675"/>
      <c r="B110" s="677"/>
      <c r="C110" s="681"/>
      <c r="D110" s="682"/>
      <c r="E110" s="682"/>
      <c r="F110" s="683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12299595</v>
      </c>
      <c r="D112" s="243">
        <f t="shared" si="16"/>
        <v>3160099</v>
      </c>
      <c r="E112" s="243">
        <f t="shared" ref="E112:E122" si="17">D112-C112</f>
        <v>-9139496</v>
      </c>
      <c r="F112" s="244">
        <f t="shared" ref="F112:F122" si="18">IF(C112=0,0,E112/C112)</f>
        <v>-0.74307292231979993</v>
      </c>
    </row>
    <row r="113" spans="1:6" ht="20.25" customHeight="1" x14ac:dyDescent="0.3">
      <c r="A113" s="249"/>
      <c r="B113" s="250" t="s">
        <v>473</v>
      </c>
      <c r="C113" s="243">
        <f t="shared" si="16"/>
        <v>3598585</v>
      </c>
      <c r="D113" s="243">
        <f t="shared" si="16"/>
        <v>860977</v>
      </c>
      <c r="E113" s="243">
        <f t="shared" si="17"/>
        <v>-2737608</v>
      </c>
      <c r="F113" s="244">
        <f t="shared" si="18"/>
        <v>-0.76074568198333514</v>
      </c>
    </row>
    <row r="114" spans="1:6" ht="20.25" customHeight="1" x14ac:dyDescent="0.3">
      <c r="A114" s="249"/>
      <c r="B114" s="250" t="s">
        <v>474</v>
      </c>
      <c r="C114" s="243">
        <f t="shared" si="16"/>
        <v>29955194</v>
      </c>
      <c r="D114" s="243">
        <f t="shared" si="16"/>
        <v>7862902</v>
      </c>
      <c r="E114" s="243">
        <f t="shared" si="17"/>
        <v>-22092292</v>
      </c>
      <c r="F114" s="244">
        <f t="shared" si="18"/>
        <v>-0.73751123094045057</v>
      </c>
    </row>
    <row r="115" spans="1:6" ht="20.25" customHeight="1" x14ac:dyDescent="0.3">
      <c r="A115" s="249"/>
      <c r="B115" s="250" t="s">
        <v>475</v>
      </c>
      <c r="C115" s="243">
        <f t="shared" si="16"/>
        <v>8411984</v>
      </c>
      <c r="D115" s="243">
        <f t="shared" si="16"/>
        <v>2157866</v>
      </c>
      <c r="E115" s="243">
        <f t="shared" si="17"/>
        <v>-6254118</v>
      </c>
      <c r="F115" s="244">
        <f t="shared" si="18"/>
        <v>-0.74347716305689593</v>
      </c>
    </row>
    <row r="116" spans="1:6" ht="20.25" customHeight="1" x14ac:dyDescent="0.3">
      <c r="A116" s="249"/>
      <c r="B116" s="250" t="s">
        <v>476</v>
      </c>
      <c r="C116" s="252">
        <f t="shared" si="16"/>
        <v>1113</v>
      </c>
      <c r="D116" s="252">
        <f t="shared" si="16"/>
        <v>231</v>
      </c>
      <c r="E116" s="252">
        <f t="shared" si="17"/>
        <v>-882</v>
      </c>
      <c r="F116" s="244">
        <f t="shared" si="18"/>
        <v>-0.79245283018867929</v>
      </c>
    </row>
    <row r="117" spans="1:6" ht="20.25" customHeight="1" x14ac:dyDescent="0.3">
      <c r="A117" s="249"/>
      <c r="B117" s="250" t="s">
        <v>477</v>
      </c>
      <c r="C117" s="252">
        <f t="shared" si="16"/>
        <v>3236</v>
      </c>
      <c r="D117" s="252">
        <f t="shared" si="16"/>
        <v>748</v>
      </c>
      <c r="E117" s="252">
        <f t="shared" si="17"/>
        <v>-2488</v>
      </c>
      <c r="F117" s="244">
        <f t="shared" si="18"/>
        <v>-0.76885043263288011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14532</v>
      </c>
      <c r="D118" s="252">
        <f t="shared" si="16"/>
        <v>3780</v>
      </c>
      <c r="E118" s="252">
        <f t="shared" si="17"/>
        <v>-10752</v>
      </c>
      <c r="F118" s="244">
        <f t="shared" si="18"/>
        <v>-0.73988439306358378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11713</v>
      </c>
      <c r="D119" s="252">
        <f t="shared" si="16"/>
        <v>2939</v>
      </c>
      <c r="E119" s="252">
        <f t="shared" si="17"/>
        <v>-8774</v>
      </c>
      <c r="F119" s="244">
        <f t="shared" si="18"/>
        <v>-0.74908221634081784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272</v>
      </c>
      <c r="D120" s="252">
        <f t="shared" si="16"/>
        <v>101</v>
      </c>
      <c r="E120" s="252">
        <f t="shared" si="17"/>
        <v>-171</v>
      </c>
      <c r="F120" s="244">
        <f t="shared" si="18"/>
        <v>-0.62867647058823528</v>
      </c>
    </row>
    <row r="121" spans="1:6" ht="39.950000000000003" customHeight="1" x14ac:dyDescent="0.3">
      <c r="A121" s="249"/>
      <c r="B121" s="242" t="s">
        <v>453</v>
      </c>
      <c r="C121" s="243">
        <f>+C112+C114</f>
        <v>42254789</v>
      </c>
      <c r="D121" s="243">
        <f>+D112+D114</f>
        <v>11023001</v>
      </c>
      <c r="E121" s="243">
        <f t="shared" si="17"/>
        <v>-31231788</v>
      </c>
      <c r="F121" s="244">
        <f t="shared" si="18"/>
        <v>-0.73913013741472</v>
      </c>
    </row>
    <row r="122" spans="1:6" ht="39.950000000000003" customHeight="1" x14ac:dyDescent="0.3">
      <c r="A122" s="249"/>
      <c r="B122" s="242" t="s">
        <v>482</v>
      </c>
      <c r="C122" s="243">
        <f>+C113+C115</f>
        <v>12010569</v>
      </c>
      <c r="D122" s="243">
        <f>+D113+D115</f>
        <v>3018843</v>
      </c>
      <c r="E122" s="243">
        <f t="shared" si="17"/>
        <v>-8991726</v>
      </c>
      <c r="F122" s="244">
        <f t="shared" si="18"/>
        <v>-0.74865112552119717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FILING&amp;RWILLIAM W. BACKUS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95434551</v>
      </c>
      <c r="D13" s="23">
        <v>108322462</v>
      </c>
      <c r="E13" s="23">
        <f t="shared" ref="E13:E22" si="0">D13-C13</f>
        <v>12887911</v>
      </c>
      <c r="F13" s="24">
        <f t="shared" ref="F13:F22" si="1">IF(C13=0,0,E13/C13)</f>
        <v>0.13504449766835494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34428013</v>
      </c>
      <c r="D15" s="23">
        <v>33684894</v>
      </c>
      <c r="E15" s="23">
        <f t="shared" si="0"/>
        <v>-743119</v>
      </c>
      <c r="F15" s="24">
        <f t="shared" si="1"/>
        <v>-2.1584719396963166E-2</v>
      </c>
    </row>
    <row r="16" spans="1:8" ht="35.1" customHeight="1" x14ac:dyDescent="0.2">
      <c r="A16" s="21">
        <v>4</v>
      </c>
      <c r="B16" s="22" t="s">
        <v>19</v>
      </c>
      <c r="C16" s="23">
        <v>5885482</v>
      </c>
      <c r="D16" s="23">
        <v>7433046</v>
      </c>
      <c r="E16" s="23">
        <f t="shared" si="0"/>
        <v>1547564</v>
      </c>
      <c r="F16" s="24">
        <f t="shared" si="1"/>
        <v>0.26294600850023836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3704067</v>
      </c>
      <c r="D19" s="23">
        <v>3548865</v>
      </c>
      <c r="E19" s="23">
        <f t="shared" si="0"/>
        <v>-155202</v>
      </c>
      <c r="F19" s="24">
        <f t="shared" si="1"/>
        <v>-4.1900429986822592E-2</v>
      </c>
    </row>
    <row r="20" spans="1:11" ht="24" customHeight="1" x14ac:dyDescent="0.2">
      <c r="A20" s="21">
        <v>8</v>
      </c>
      <c r="B20" s="22" t="s">
        <v>23</v>
      </c>
      <c r="C20" s="23">
        <v>1634141</v>
      </c>
      <c r="D20" s="23">
        <v>3370245</v>
      </c>
      <c r="E20" s="23">
        <f t="shared" si="0"/>
        <v>1736104</v>
      </c>
      <c r="F20" s="24">
        <f t="shared" si="1"/>
        <v>1.0623954726060971</v>
      </c>
    </row>
    <row r="21" spans="1:11" ht="24" customHeight="1" x14ac:dyDescent="0.2">
      <c r="A21" s="21">
        <v>9</v>
      </c>
      <c r="B21" s="22" t="s">
        <v>24</v>
      </c>
      <c r="C21" s="23">
        <v>101211</v>
      </c>
      <c r="D21" s="23">
        <v>31723</v>
      </c>
      <c r="E21" s="23">
        <f t="shared" si="0"/>
        <v>-69488</v>
      </c>
      <c r="F21" s="24">
        <f t="shared" si="1"/>
        <v>-0.68656568950015318</v>
      </c>
    </row>
    <row r="22" spans="1:11" ht="24" customHeight="1" x14ac:dyDescent="0.25">
      <c r="A22" s="25"/>
      <c r="B22" s="26" t="s">
        <v>25</v>
      </c>
      <c r="C22" s="27">
        <f>SUM(C13:C21)</f>
        <v>141187465</v>
      </c>
      <c r="D22" s="27">
        <f>SUM(D13:D21)</f>
        <v>156391235</v>
      </c>
      <c r="E22" s="27">
        <f t="shared" si="0"/>
        <v>15203770</v>
      </c>
      <c r="F22" s="28">
        <f t="shared" si="1"/>
        <v>0.10768498464081071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28078427</v>
      </c>
      <c r="D25" s="23">
        <v>30175064</v>
      </c>
      <c r="E25" s="23">
        <f>D25-C25</f>
        <v>2096637</v>
      </c>
      <c r="F25" s="24">
        <f>IF(C25=0,0,E25/C25)</f>
        <v>7.467074277344668E-2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99552920</v>
      </c>
      <c r="D26" s="23">
        <v>109435719</v>
      </c>
      <c r="E26" s="23">
        <f>D26-C26</f>
        <v>9882799</v>
      </c>
      <c r="F26" s="24">
        <f>IF(C26=0,0,E26/C26)</f>
        <v>9.9271814427944458E-2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127631347</v>
      </c>
      <c r="D29" s="27">
        <f>SUM(D25:D28)</f>
        <v>139610783</v>
      </c>
      <c r="E29" s="27">
        <f>D29-C29</f>
        <v>11979436</v>
      </c>
      <c r="F29" s="28">
        <f>IF(C29=0,0,E29/C29)</f>
        <v>9.3859669129716231E-2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3979554</v>
      </c>
      <c r="D33" s="23">
        <v>8251731</v>
      </c>
      <c r="E33" s="23">
        <f>D33-C33</f>
        <v>4272177</v>
      </c>
      <c r="F33" s="24">
        <f>IF(C33=0,0,E33/C33)</f>
        <v>1.0735316068082001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230357085</v>
      </c>
      <c r="D36" s="23">
        <v>239543110</v>
      </c>
      <c r="E36" s="23">
        <f>D36-C36</f>
        <v>9186025</v>
      </c>
      <c r="F36" s="24">
        <f>IF(C36=0,0,E36/C36)</f>
        <v>3.9877327845158309E-2</v>
      </c>
    </row>
    <row r="37" spans="1:8" ht="24" customHeight="1" x14ac:dyDescent="0.2">
      <c r="A37" s="21">
        <v>2</v>
      </c>
      <c r="B37" s="22" t="s">
        <v>39</v>
      </c>
      <c r="C37" s="23">
        <v>141087085</v>
      </c>
      <c r="D37" s="23">
        <v>149323044</v>
      </c>
      <c r="E37" s="23">
        <f>D37-C37</f>
        <v>8235959</v>
      </c>
      <c r="F37" s="23">
        <f>IF(C37=0,0,E37/C37)</f>
        <v>5.837500292815604E-2</v>
      </c>
    </row>
    <row r="38" spans="1:8" ht="24" customHeight="1" x14ac:dyDescent="0.25">
      <c r="A38" s="25"/>
      <c r="B38" s="26" t="s">
        <v>40</v>
      </c>
      <c r="C38" s="27">
        <f>C36-C37</f>
        <v>89270000</v>
      </c>
      <c r="D38" s="27">
        <f>D36-D37</f>
        <v>90220066</v>
      </c>
      <c r="E38" s="27">
        <f>D38-C38</f>
        <v>950066</v>
      </c>
      <c r="F38" s="28">
        <f>IF(C38=0,0,E38/C38)</f>
        <v>1.0642612299764759E-2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1365773</v>
      </c>
      <c r="D40" s="23">
        <v>1747654</v>
      </c>
      <c r="E40" s="23">
        <f>D40-C40</f>
        <v>381881</v>
      </c>
      <c r="F40" s="24">
        <f>IF(C40=0,0,E40/C40)</f>
        <v>0.27960795827710755</v>
      </c>
    </row>
    <row r="41" spans="1:8" ht="24" customHeight="1" x14ac:dyDescent="0.25">
      <c r="A41" s="25"/>
      <c r="B41" s="26" t="s">
        <v>42</v>
      </c>
      <c r="C41" s="27">
        <f>+C38+C40</f>
        <v>90635773</v>
      </c>
      <c r="D41" s="27">
        <f>+D38+D40</f>
        <v>91967720</v>
      </c>
      <c r="E41" s="27">
        <f>D41-C41</f>
        <v>1331947</v>
      </c>
      <c r="F41" s="28">
        <f>IF(C41=0,0,E41/C41)</f>
        <v>1.4695599275133892E-2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363434139</v>
      </c>
      <c r="D43" s="27">
        <f>D22+D29+D31+D32+D33+D41</f>
        <v>396221469</v>
      </c>
      <c r="E43" s="27">
        <f>D43-C43</f>
        <v>32787330</v>
      </c>
      <c r="F43" s="28">
        <f>IF(C43=0,0,E43/C43)</f>
        <v>9.021532784513675E-2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10347081</v>
      </c>
      <c r="D49" s="23">
        <v>9833003</v>
      </c>
      <c r="E49" s="23">
        <f t="shared" ref="E49:E56" si="2">D49-C49</f>
        <v>-514078</v>
      </c>
      <c r="F49" s="24">
        <f t="shared" ref="F49:F56" si="3">IF(C49=0,0,E49/C49)</f>
        <v>-4.9683384135100518E-2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7383760</v>
      </c>
      <c r="D50" s="23">
        <v>7663502</v>
      </c>
      <c r="E50" s="23">
        <f t="shared" si="2"/>
        <v>279742</v>
      </c>
      <c r="F50" s="24">
        <f t="shared" si="3"/>
        <v>3.788611764196019E-2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5023840</v>
      </c>
      <c r="D51" s="23">
        <v>1481120</v>
      </c>
      <c r="E51" s="23">
        <f t="shared" si="2"/>
        <v>-3542720</v>
      </c>
      <c r="F51" s="24">
        <f t="shared" si="3"/>
        <v>-0.70518169368451222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1965000</v>
      </c>
      <c r="D53" s="23">
        <v>2045000</v>
      </c>
      <c r="E53" s="23">
        <f t="shared" si="2"/>
        <v>80000</v>
      </c>
      <c r="F53" s="24">
        <f t="shared" si="3"/>
        <v>4.0712468193384227E-2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150360</v>
      </c>
      <c r="D54" s="23">
        <v>301210</v>
      </c>
      <c r="E54" s="23">
        <f t="shared" si="2"/>
        <v>150850</v>
      </c>
      <c r="F54" s="24">
        <f t="shared" si="3"/>
        <v>1.0032588454376163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9900034</v>
      </c>
      <c r="D55" s="23">
        <v>11689505</v>
      </c>
      <c r="E55" s="23">
        <f t="shared" si="2"/>
        <v>1789471</v>
      </c>
      <c r="F55" s="24">
        <f t="shared" si="3"/>
        <v>0.18075402569324509</v>
      </c>
    </row>
    <row r="56" spans="1:6" ht="24" customHeight="1" x14ac:dyDescent="0.25">
      <c r="A56" s="25"/>
      <c r="B56" s="26" t="s">
        <v>54</v>
      </c>
      <c r="C56" s="27">
        <f>SUM(C49:C55)</f>
        <v>34770075</v>
      </c>
      <c r="D56" s="27">
        <f>SUM(D49:D55)</f>
        <v>33013340</v>
      </c>
      <c r="E56" s="27">
        <f t="shared" si="2"/>
        <v>-1756735</v>
      </c>
      <c r="F56" s="28">
        <f t="shared" si="3"/>
        <v>-5.0524337379197488E-2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59976971</v>
      </c>
      <c r="D59" s="23">
        <v>57887276</v>
      </c>
      <c r="E59" s="23">
        <f>D59-C59</f>
        <v>-2089695</v>
      </c>
      <c r="F59" s="24">
        <f>IF(C59=0,0,E59/C59)</f>
        <v>-3.4841622795522637E-2</v>
      </c>
    </row>
    <row r="60" spans="1:6" ht="24" customHeight="1" x14ac:dyDescent="0.2">
      <c r="A60" s="21">
        <v>2</v>
      </c>
      <c r="B60" s="22" t="s">
        <v>57</v>
      </c>
      <c r="C60" s="23">
        <v>2412742</v>
      </c>
      <c r="D60" s="23">
        <v>7169714</v>
      </c>
      <c r="E60" s="23">
        <f>D60-C60</f>
        <v>4756972</v>
      </c>
      <c r="F60" s="24">
        <f>IF(C60=0,0,E60/C60)</f>
        <v>1.9716040919418654</v>
      </c>
    </row>
    <row r="61" spans="1:6" ht="24" customHeight="1" x14ac:dyDescent="0.25">
      <c r="A61" s="25"/>
      <c r="B61" s="26" t="s">
        <v>58</v>
      </c>
      <c r="C61" s="27">
        <f>SUM(C59:C60)</f>
        <v>62389713</v>
      </c>
      <c r="D61" s="27">
        <f>SUM(D59:D60)</f>
        <v>65056990</v>
      </c>
      <c r="E61" s="27">
        <f>D61-C61</f>
        <v>2667277</v>
      </c>
      <c r="F61" s="28">
        <f>IF(C61=0,0,E61/C61)</f>
        <v>4.2751871610629141E-2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62916776</v>
      </c>
      <c r="D63" s="23">
        <v>62941096</v>
      </c>
      <c r="E63" s="23">
        <f>D63-C63</f>
        <v>24320</v>
      </c>
      <c r="F63" s="24">
        <f>IF(C63=0,0,E63/C63)</f>
        <v>3.8654237464424431E-4</v>
      </c>
    </row>
    <row r="64" spans="1:6" ht="24" customHeight="1" x14ac:dyDescent="0.2">
      <c r="A64" s="21">
        <v>4</v>
      </c>
      <c r="B64" s="22" t="s">
        <v>60</v>
      </c>
      <c r="C64" s="23">
        <v>40594961</v>
      </c>
      <c r="D64" s="23">
        <v>37185741</v>
      </c>
      <c r="E64" s="23">
        <f>D64-C64</f>
        <v>-3409220</v>
      </c>
      <c r="F64" s="24">
        <f>IF(C64=0,0,E64/C64)</f>
        <v>-8.3981359164256864E-2</v>
      </c>
    </row>
    <row r="65" spans="1:6" ht="24" customHeight="1" x14ac:dyDescent="0.25">
      <c r="A65" s="25"/>
      <c r="B65" s="26" t="s">
        <v>61</v>
      </c>
      <c r="C65" s="27">
        <f>SUM(C61:C64)</f>
        <v>165901450</v>
      </c>
      <c r="D65" s="27">
        <f>SUM(D61:D64)</f>
        <v>165183827</v>
      </c>
      <c r="E65" s="27">
        <f>D65-C65</f>
        <v>-717623</v>
      </c>
      <c r="F65" s="28">
        <f>IF(C65=0,0,E65/C65)</f>
        <v>-4.3255981186421212E-3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153913943</v>
      </c>
      <c r="D70" s="23">
        <v>187377643</v>
      </c>
      <c r="E70" s="23">
        <f>D70-C70</f>
        <v>33463700</v>
      </c>
      <c r="F70" s="24">
        <f>IF(C70=0,0,E70/C70)</f>
        <v>0.21741824910560573</v>
      </c>
    </row>
    <row r="71" spans="1:6" ht="24" customHeight="1" x14ac:dyDescent="0.2">
      <c r="A71" s="21">
        <v>2</v>
      </c>
      <c r="B71" s="22" t="s">
        <v>65</v>
      </c>
      <c r="C71" s="23">
        <v>1399547</v>
      </c>
      <c r="D71" s="23">
        <v>2890743</v>
      </c>
      <c r="E71" s="23">
        <f>D71-C71</f>
        <v>1491196</v>
      </c>
      <c r="F71" s="24">
        <f>IF(C71=0,0,E71/C71)</f>
        <v>1.0654847604260522</v>
      </c>
    </row>
    <row r="72" spans="1:6" ht="24" customHeight="1" x14ac:dyDescent="0.2">
      <c r="A72" s="21">
        <v>3</v>
      </c>
      <c r="B72" s="22" t="s">
        <v>66</v>
      </c>
      <c r="C72" s="23">
        <v>7449124</v>
      </c>
      <c r="D72" s="23">
        <v>7755916</v>
      </c>
      <c r="E72" s="23">
        <f>D72-C72</f>
        <v>306792</v>
      </c>
      <c r="F72" s="24">
        <f>IF(C72=0,0,E72/C72)</f>
        <v>4.1184976918091309E-2</v>
      </c>
    </row>
    <row r="73" spans="1:6" ht="24" customHeight="1" x14ac:dyDescent="0.25">
      <c r="A73" s="21"/>
      <c r="B73" s="26" t="s">
        <v>67</v>
      </c>
      <c r="C73" s="27">
        <f>SUM(C70:C72)</f>
        <v>162762614</v>
      </c>
      <c r="D73" s="27">
        <f>SUM(D70:D72)</f>
        <v>198024302</v>
      </c>
      <c r="E73" s="27">
        <f>D73-C73</f>
        <v>35261688</v>
      </c>
      <c r="F73" s="28">
        <f>IF(C73=0,0,E73/C73)</f>
        <v>0.216644886275911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363434139</v>
      </c>
      <c r="D75" s="27">
        <f>D56+D65+D67+D73</f>
        <v>396221469</v>
      </c>
      <c r="E75" s="27">
        <f>D75-C75</f>
        <v>32787330</v>
      </c>
      <c r="F75" s="28">
        <f>IF(C75=0,0,E75/C75)</f>
        <v>9.021532784513675E-2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FILING&amp;RBACKUS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624460853</v>
      </c>
      <c r="D12" s="51">
        <v>639940838</v>
      </c>
      <c r="E12" s="51">
        <f t="shared" ref="E12:E19" si="0">D12-C12</f>
        <v>15479985</v>
      </c>
      <c r="F12" s="70">
        <f t="shared" ref="F12:F19" si="1">IF(C12=0,0,E12/C12)</f>
        <v>2.4789360174672152E-2</v>
      </c>
    </row>
    <row r="13" spans="1:8" ht="23.1" customHeight="1" x14ac:dyDescent="0.2">
      <c r="A13" s="25">
        <v>2</v>
      </c>
      <c r="B13" s="48" t="s">
        <v>72</v>
      </c>
      <c r="C13" s="51">
        <v>334249153</v>
      </c>
      <c r="D13" s="51">
        <v>336783841</v>
      </c>
      <c r="E13" s="51">
        <f t="shared" si="0"/>
        <v>2534688</v>
      </c>
      <c r="F13" s="70">
        <f t="shared" si="1"/>
        <v>7.5832293881684118E-3</v>
      </c>
    </row>
    <row r="14" spans="1:8" ht="23.1" customHeight="1" x14ac:dyDescent="0.2">
      <c r="A14" s="25">
        <v>3</v>
      </c>
      <c r="B14" s="48" t="s">
        <v>73</v>
      </c>
      <c r="C14" s="51">
        <v>5004135</v>
      </c>
      <c r="D14" s="51">
        <v>5552920</v>
      </c>
      <c r="E14" s="51">
        <f t="shared" si="0"/>
        <v>548785</v>
      </c>
      <c r="F14" s="70">
        <f t="shared" si="1"/>
        <v>0.10966630596496697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285207565</v>
      </c>
      <c r="D16" s="27">
        <f>D12-D13-D14-D15</f>
        <v>297604077</v>
      </c>
      <c r="E16" s="27">
        <f t="shared" si="0"/>
        <v>12396512</v>
      </c>
      <c r="F16" s="28">
        <f t="shared" si="1"/>
        <v>4.3464877938984542E-2</v>
      </c>
    </row>
    <row r="17" spans="1:7" ht="23.1" customHeight="1" x14ac:dyDescent="0.2">
      <c r="A17" s="25">
        <v>5</v>
      </c>
      <c r="B17" s="48" t="s">
        <v>76</v>
      </c>
      <c r="C17" s="51">
        <v>4307817</v>
      </c>
      <c r="D17" s="51">
        <v>7282268</v>
      </c>
      <c r="E17" s="51">
        <f t="shared" si="0"/>
        <v>2974451</v>
      </c>
      <c r="F17" s="70">
        <f t="shared" si="1"/>
        <v>0.69047756671186356</v>
      </c>
      <c r="G17" s="64"/>
    </row>
    <row r="18" spans="1:7" ht="33" customHeight="1" x14ac:dyDescent="0.2">
      <c r="A18" s="25">
        <v>6</v>
      </c>
      <c r="B18" s="45" t="s">
        <v>77</v>
      </c>
      <c r="C18" s="51">
        <v>673194</v>
      </c>
      <c r="D18" s="51">
        <v>174552</v>
      </c>
      <c r="E18" s="51">
        <f t="shared" si="0"/>
        <v>-498642</v>
      </c>
      <c r="F18" s="70">
        <f t="shared" si="1"/>
        <v>-0.74071070152140395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290188576</v>
      </c>
      <c r="D19" s="27">
        <f>SUM(D16:D18)</f>
        <v>305060897</v>
      </c>
      <c r="E19" s="27">
        <f t="shared" si="0"/>
        <v>14872321</v>
      </c>
      <c r="F19" s="28">
        <f t="shared" si="1"/>
        <v>5.1250539235562463E-2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117877797</v>
      </c>
      <c r="D22" s="51">
        <v>123500731</v>
      </c>
      <c r="E22" s="51">
        <f t="shared" ref="E22:E31" si="2">D22-C22</f>
        <v>5622934</v>
      </c>
      <c r="F22" s="70">
        <f t="shared" ref="F22:F31" si="3">IF(C22=0,0,E22/C22)</f>
        <v>4.7701383492940577E-2</v>
      </c>
    </row>
    <row r="23" spans="1:7" ht="23.1" customHeight="1" x14ac:dyDescent="0.2">
      <c r="A23" s="25">
        <v>2</v>
      </c>
      <c r="B23" s="48" t="s">
        <v>81</v>
      </c>
      <c r="C23" s="51">
        <v>27854316</v>
      </c>
      <c r="D23" s="51">
        <v>35029296</v>
      </c>
      <c r="E23" s="51">
        <f t="shared" si="2"/>
        <v>7174980</v>
      </c>
      <c r="F23" s="70">
        <f t="shared" si="3"/>
        <v>0.25758952400769775</v>
      </c>
    </row>
    <row r="24" spans="1:7" ht="23.1" customHeight="1" x14ac:dyDescent="0.2">
      <c r="A24" s="25">
        <v>3</v>
      </c>
      <c r="B24" s="48" t="s">
        <v>82</v>
      </c>
      <c r="C24" s="51">
        <v>1766978</v>
      </c>
      <c r="D24" s="51">
        <v>1773524</v>
      </c>
      <c r="E24" s="51">
        <f t="shared" si="2"/>
        <v>6546</v>
      </c>
      <c r="F24" s="70">
        <f t="shared" si="3"/>
        <v>3.7046301651746656E-3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84999001</v>
      </c>
      <c r="D25" s="51">
        <v>90840139</v>
      </c>
      <c r="E25" s="51">
        <f t="shared" si="2"/>
        <v>5841138</v>
      </c>
      <c r="F25" s="70">
        <f t="shared" si="3"/>
        <v>6.8720078251272618E-2</v>
      </c>
    </row>
    <row r="26" spans="1:7" ht="23.1" customHeight="1" x14ac:dyDescent="0.2">
      <c r="A26" s="25">
        <v>5</v>
      </c>
      <c r="B26" s="48" t="s">
        <v>84</v>
      </c>
      <c r="C26" s="51">
        <v>17045582</v>
      </c>
      <c r="D26" s="51">
        <v>18079091</v>
      </c>
      <c r="E26" s="51">
        <f t="shared" si="2"/>
        <v>1033509</v>
      </c>
      <c r="F26" s="70">
        <f t="shared" si="3"/>
        <v>6.0632074633767269E-2</v>
      </c>
    </row>
    <row r="27" spans="1:7" ht="23.1" customHeight="1" x14ac:dyDescent="0.2">
      <c r="A27" s="25">
        <v>6</v>
      </c>
      <c r="B27" s="48" t="s">
        <v>85</v>
      </c>
      <c r="C27" s="51">
        <v>12767930</v>
      </c>
      <c r="D27" s="51">
        <v>8743002</v>
      </c>
      <c r="E27" s="51">
        <f t="shared" si="2"/>
        <v>-4024928</v>
      </c>
      <c r="F27" s="70">
        <f t="shared" si="3"/>
        <v>-0.31523731724719667</v>
      </c>
    </row>
    <row r="28" spans="1:7" ht="23.1" customHeight="1" x14ac:dyDescent="0.2">
      <c r="A28" s="25">
        <v>7</v>
      </c>
      <c r="B28" s="48" t="s">
        <v>86</v>
      </c>
      <c r="C28" s="51">
        <v>3247715</v>
      </c>
      <c r="D28" s="51">
        <v>3276169</v>
      </c>
      <c r="E28" s="51">
        <f t="shared" si="2"/>
        <v>28454</v>
      </c>
      <c r="F28" s="70">
        <f t="shared" si="3"/>
        <v>8.7612367464509656E-3</v>
      </c>
    </row>
    <row r="29" spans="1:7" ht="23.1" customHeight="1" x14ac:dyDescent="0.2">
      <c r="A29" s="25">
        <v>8</v>
      </c>
      <c r="B29" s="48" t="s">
        <v>87</v>
      </c>
      <c r="C29" s="51">
        <v>3088438</v>
      </c>
      <c r="D29" s="51">
        <v>192200</v>
      </c>
      <c r="E29" s="51">
        <f t="shared" si="2"/>
        <v>-2896238</v>
      </c>
      <c r="F29" s="70">
        <f t="shared" si="3"/>
        <v>-0.93776789432068897</v>
      </c>
    </row>
    <row r="30" spans="1:7" ht="23.1" customHeight="1" x14ac:dyDescent="0.2">
      <c r="A30" s="25">
        <v>9</v>
      </c>
      <c r="B30" s="48" t="s">
        <v>88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7" ht="23.1" customHeight="1" x14ac:dyDescent="0.25">
      <c r="A31" s="29"/>
      <c r="B31" s="71" t="s">
        <v>89</v>
      </c>
      <c r="C31" s="27">
        <f>SUM(C22:C30)</f>
        <v>268647757</v>
      </c>
      <c r="D31" s="27">
        <f>SUM(D22:D30)</f>
        <v>281434152</v>
      </c>
      <c r="E31" s="27">
        <f t="shared" si="2"/>
        <v>12786395</v>
      </c>
      <c r="F31" s="28">
        <f t="shared" si="3"/>
        <v>4.7595390867156952E-2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21540819</v>
      </c>
      <c r="D33" s="27">
        <f>+D19-D31</f>
        <v>23626745</v>
      </c>
      <c r="E33" s="27">
        <f>D33-C33</f>
        <v>2085926</v>
      </c>
      <c r="F33" s="28">
        <f>IF(C33=0,0,E33/C33)</f>
        <v>9.6835965243475652E-2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8259609</v>
      </c>
      <c r="D36" s="51">
        <v>3898403</v>
      </c>
      <c r="E36" s="51">
        <f>D36-C36</f>
        <v>-4361206</v>
      </c>
      <c r="F36" s="70">
        <f>IF(C36=0,0,E36/C36)</f>
        <v>-0.52801603562589949</v>
      </c>
    </row>
    <row r="37" spans="1:6" ht="23.1" customHeight="1" x14ac:dyDescent="0.2">
      <c r="A37" s="44">
        <v>2</v>
      </c>
      <c r="B37" s="48" t="s">
        <v>93</v>
      </c>
      <c r="C37" s="51">
        <v>158300</v>
      </c>
      <c r="D37" s="51">
        <v>147058</v>
      </c>
      <c r="E37" s="51">
        <f>D37-C37</f>
        <v>-11242</v>
      </c>
      <c r="F37" s="70">
        <f>IF(C37=0,0,E37/C37)</f>
        <v>-7.101705622236261E-2</v>
      </c>
    </row>
    <row r="38" spans="1:6" ht="23.1" customHeight="1" x14ac:dyDescent="0.2">
      <c r="A38" s="44">
        <v>3</v>
      </c>
      <c r="B38" s="48" t="s">
        <v>94</v>
      </c>
      <c r="C38" s="51">
        <v>-565873</v>
      </c>
      <c r="D38" s="51">
        <v>-9929</v>
      </c>
      <c r="E38" s="51">
        <f>D38-C38</f>
        <v>555944</v>
      </c>
      <c r="F38" s="70">
        <f>IF(C38=0,0,E38/C38)</f>
        <v>-0.98245366009687685</v>
      </c>
    </row>
    <row r="39" spans="1:6" ht="23.1" customHeight="1" x14ac:dyDescent="0.25">
      <c r="A39" s="20"/>
      <c r="B39" s="71" t="s">
        <v>95</v>
      </c>
      <c r="C39" s="27">
        <f>SUM(C36:C38)</f>
        <v>7852036</v>
      </c>
      <c r="D39" s="27">
        <f>SUM(D36:D38)</f>
        <v>4035532</v>
      </c>
      <c r="E39" s="27">
        <f>D39-C39</f>
        <v>-3816504</v>
      </c>
      <c r="F39" s="28">
        <f>IF(C39=0,0,E39/C39)</f>
        <v>-0.48605278936571356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29392855</v>
      </c>
      <c r="D41" s="27">
        <f>D33+D39</f>
        <v>27662277</v>
      </c>
      <c r="E41" s="27">
        <f>D41-C41</f>
        <v>-1730578</v>
      </c>
      <c r="F41" s="28">
        <f>IF(C41=0,0,E41/C41)</f>
        <v>-5.8877506115006521E-2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-5813831</v>
      </c>
      <c r="D44" s="51">
        <v>10067106</v>
      </c>
      <c r="E44" s="51">
        <f>D44-C44</f>
        <v>15880937</v>
      </c>
      <c r="F44" s="70">
        <f>IF(C44=0,0,E44/C44)</f>
        <v>-2.7315787129003235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-5813831</v>
      </c>
      <c r="D46" s="27">
        <f>SUM(D44:D45)</f>
        <v>10067106</v>
      </c>
      <c r="E46" s="27">
        <f>D46-C46</f>
        <v>15880937</v>
      </c>
      <c r="F46" s="28">
        <f>IF(C46=0,0,E46/C46)</f>
        <v>-2.7315787129003235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23579024</v>
      </c>
      <c r="D48" s="27">
        <f>D41+D46</f>
        <v>37729383</v>
      </c>
      <c r="E48" s="27">
        <f>D48-C48</f>
        <v>14150359</v>
      </c>
      <c r="F48" s="28">
        <f>IF(C48=0,0,E48/C48)</f>
        <v>0.60012488218341864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FILING&amp;R&amp;8BACKUS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2013-09-11T11:20:39Z</cp:lastPrinted>
  <dcterms:created xsi:type="dcterms:W3CDTF">2006-08-03T13:49:12Z</dcterms:created>
  <dcterms:modified xsi:type="dcterms:W3CDTF">2013-09-12T14:54:33Z</dcterms:modified>
</cp:coreProperties>
</file>