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1700" firstSheet="1" activeTab="1"/>
  </bookViews>
  <sheets>
    <sheet name="Sheet1" sheetId="35" state="hidden" r:id="rId1"/>
    <sheet name="2020 Summary" sheetId="34" r:id="rId2"/>
    <sheet name="2020 Detail" sheetId="31" r:id="rId3"/>
    <sheet name="IP Supp Combo" sheetId="5" r:id="rId4"/>
    <sheet name="Small" sheetId="30" r:id="rId5"/>
    <sheet name="Mid" sheetId="11" r:id="rId6"/>
    <sheet name="OP Supp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p" localSheetId="2">#REF!</definedName>
    <definedName name="\p" localSheetId="3">#REF!</definedName>
    <definedName name="\p" localSheetId="5">#REF!</definedName>
    <definedName name="\p" localSheetId="4">#REF!</definedName>
    <definedName name="\p">#REF!</definedName>
    <definedName name="\s" localSheetId="2">#REF!</definedName>
    <definedName name="\s" localSheetId="3">#REF!</definedName>
    <definedName name="\s" localSheetId="5">#REF!</definedName>
    <definedName name="\s" localSheetId="4">#REF!</definedName>
    <definedName name="\s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4" hidden="1">#REF!</definedName>
    <definedName name="_Fill" hidden="1">#REF!</definedName>
    <definedName name="_fy13" localSheetId="2">#REF!</definedName>
    <definedName name="_fy13" localSheetId="5">#REF!</definedName>
    <definedName name="_fy13" localSheetId="4">#REF!</definedName>
    <definedName name="_fy13">#REF!</definedName>
    <definedName name="_T2" localSheetId="2">#REF!</definedName>
    <definedName name="_T2" localSheetId="5">#REF!</definedName>
    <definedName name="_T2" localSheetId="4">#REF!</definedName>
    <definedName name="_T2">#REF!</definedName>
    <definedName name="_t3" localSheetId="2">#REF!</definedName>
    <definedName name="_t3" localSheetId="3">#REF!</definedName>
    <definedName name="_t3" localSheetId="5">#REF!</definedName>
    <definedName name="_t3" localSheetId="4">#REF!</definedName>
    <definedName name="_t3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BaseRates" localSheetId="2">#REF!</definedName>
    <definedName name="BaseRates" localSheetId="5">#REF!</definedName>
    <definedName name="BaseRates" localSheetId="4">#REF!</definedName>
    <definedName name="BaseRates">#REF!</definedName>
    <definedName name="CAT_SUMM" localSheetId="2">#REF!</definedName>
    <definedName name="CAT_SUMM" localSheetId="5">#REF!</definedName>
    <definedName name="CAT_SUMM" localSheetId="4">#REF!</definedName>
    <definedName name="CAT_SUMM">#REF!</definedName>
    <definedName name="codes" localSheetId="2">#REF!</definedName>
    <definedName name="codes" localSheetId="3">#REF!</definedName>
    <definedName name="codes" localSheetId="5">#REF!</definedName>
    <definedName name="codes" localSheetId="4">#REF!</definedName>
    <definedName name="codes">#REF!</definedName>
    <definedName name="COPIES" localSheetId="2">#REF!</definedName>
    <definedName name="COPIES" localSheetId="3">#REF!</definedName>
    <definedName name="COPIES" localSheetId="5">#REF!</definedName>
    <definedName name="COPIES" localSheetId="4">#REF!</definedName>
    <definedName name="COPIES">#REF!</definedName>
    <definedName name="COSImpact" localSheetId="2">#REF!</definedName>
    <definedName name="COSImpact" localSheetId="5">#REF!</definedName>
    <definedName name="COSImpact" localSheetId="4">#REF!</definedName>
    <definedName name="COSImpact">#REF!</definedName>
    <definedName name="cost2charges" localSheetId="2">#REF!</definedName>
    <definedName name="cost2charges" localSheetId="5">#REF!</definedName>
    <definedName name="cost2charges" localSheetId="4">#REF!</definedName>
    <definedName name="cost2charges">#REF!</definedName>
    <definedName name="COUNTER" localSheetId="2">#REF!</definedName>
    <definedName name="COUNTER" localSheetId="3">#REF!</definedName>
    <definedName name="COUNTER" localSheetId="5">#REF!</definedName>
    <definedName name="COUNTER" localSheetId="4">#REF!</definedName>
    <definedName name="COUNTER">#REF!</definedName>
    <definedName name="crextract">[1]crextract!$A$4:$T$34</definedName>
    <definedName name="CY2001_AllPIPFinal" localSheetId="2">#REF!</definedName>
    <definedName name="CY2001_AllPIPFinal" localSheetId="3">#REF!</definedName>
    <definedName name="CY2001_AllPIPFinal" localSheetId="5">#REF!</definedName>
    <definedName name="CY2001_AllPIPFinal" localSheetId="4">#REF!</definedName>
    <definedName name="CY2001_AllPIPFinal">#REF!</definedName>
    <definedName name="CY2001Summary_Final" localSheetId="2">#REF!</definedName>
    <definedName name="CY2001Summary_Final" localSheetId="3">#REF!</definedName>
    <definedName name="CY2001Summary_Final" localSheetId="5">#REF!</definedName>
    <definedName name="CY2001Summary_Final" localSheetId="4">#REF!</definedName>
    <definedName name="CY2001Summary_Final">#REF!</definedName>
    <definedName name="_xlnm.Database" localSheetId="2">#REF!</definedName>
    <definedName name="_xlnm.Database" localSheetId="5">#REF!</definedName>
    <definedName name="_xlnm.Database" localSheetId="4">#REF!</definedName>
    <definedName name="_xlnm.Database">#REF!</definedName>
    <definedName name="DAYS_SUMM" localSheetId="2">#REF!</definedName>
    <definedName name="DAYS_SUMM" localSheetId="5">#REF!</definedName>
    <definedName name="DAYS_SUMM" localSheetId="4">#REF!</definedName>
    <definedName name="DAYS_SUMM">#REF!</definedName>
    <definedName name="Disch_desc">[2]Lists!$G$3:$G$57</definedName>
    <definedName name="DRG_Label" localSheetId="2">#REF!</definedName>
    <definedName name="DRG_Label" localSheetId="5">#REF!</definedName>
    <definedName name="DRG_Label" localSheetId="4">#REF!</definedName>
    <definedName name="DRG_Label">#REF!</definedName>
    <definedName name="DRG_Num">[2]Lists!$A$3:$A$323</definedName>
    <definedName name="DRG_SUMM" localSheetId="2">#REF!</definedName>
    <definedName name="DRG_SUMM" localSheetId="5">#REF!</definedName>
    <definedName name="DRG_SUMM" localSheetId="4">#REF!</definedName>
    <definedName name="DRG_SUMM">#REF!</definedName>
    <definedName name="EnhancedpayChk" localSheetId="2">#REF!</definedName>
    <definedName name="EnhancedpayChk" localSheetId="5">#REF!</definedName>
    <definedName name="EnhancedpayChk" localSheetId="4">#REF!</definedName>
    <definedName name="EnhancedpayChk">#REF!</definedName>
    <definedName name="FFY05_DSH_Query" localSheetId="2">#REF!</definedName>
    <definedName name="FFY05_DSH_Query" localSheetId="3">#REF!</definedName>
    <definedName name="FFY05_DSH_Query" localSheetId="5">#REF!</definedName>
    <definedName name="FFY05_DSH_Query" localSheetId="4">#REF!</definedName>
    <definedName name="FFY05_DSH_Query">#REF!</definedName>
    <definedName name="FFY05_DSH_QUERY_1" localSheetId="2">#REF!</definedName>
    <definedName name="FFY05_DSH_QUERY_1" localSheetId="3">#REF!</definedName>
    <definedName name="FFY05_DSH_QUERY_1" localSheetId="5">#REF!</definedName>
    <definedName name="FFY05_DSH_QUERY_1" localSheetId="4">#REF!</definedName>
    <definedName name="FFY05_DSH_QUERY_1">#REF!</definedName>
    <definedName name="hart." localSheetId="2" hidden="1">#REF!</definedName>
    <definedName name="hart." localSheetId="3" hidden="1">#REF!</definedName>
    <definedName name="hart." localSheetId="5" hidden="1">#REF!</definedName>
    <definedName name="hart." localSheetId="4" hidden="1">#REF!</definedName>
    <definedName name="hart." hidden="1">#REF!</definedName>
    <definedName name="HVASUMRYb" localSheetId="2">#REF!</definedName>
    <definedName name="HVASUMRYb" localSheetId="5">#REF!</definedName>
    <definedName name="HVASUMRYb" localSheetId="4">#REF!</definedName>
    <definedName name="HVASUMRYb">#REF!</definedName>
    <definedName name="IncludeFlag">[3]Lookup!$C$19:$C$20</definedName>
    <definedName name="KY_CORRELATION" localSheetId="2">#REF!</definedName>
    <definedName name="KY_CORRELATION" localSheetId="5">#REF!</definedName>
    <definedName name="KY_CORRELATION" localSheetId="4">#REF!</definedName>
    <definedName name="KY_CORRELATION">#REF!</definedName>
    <definedName name="LABELS" localSheetId="2">#REF!</definedName>
    <definedName name="LABELS" localSheetId="5">#REF!</definedName>
    <definedName name="LABELS" localSheetId="4">#REF!</definedName>
    <definedName name="LABELS">#REF!</definedName>
    <definedName name="LN_1D2">[4]Report500!$D$119</definedName>
    <definedName name="LN_IA1">[4]Report500!$D$15</definedName>
    <definedName name="LN_IA11">[4]Report500!$D$27</definedName>
    <definedName name="LN_IA12">[4]Report500!$D$28</definedName>
    <definedName name="LN_IA14">[4]Report500!$D$30</definedName>
    <definedName name="LN_IA15">[4]Report500!$D$31</definedName>
    <definedName name="LN_IA16">[4]Report500!$D$32</definedName>
    <definedName name="LN_IA17">[4]Report500!$D$35</definedName>
    <definedName name="LN_IA18">[4]Report500!$D$36</definedName>
    <definedName name="LN_IA2">[4]Report500!$D$16</definedName>
    <definedName name="LN_IA4">[4]Report500!$D$18</definedName>
    <definedName name="LN_IA5">[4]Report500!$D$19</definedName>
    <definedName name="LN_IA6">[4]Report500!$D$20</definedName>
    <definedName name="LN_IA7">[4]Report500!$D$21</definedName>
    <definedName name="LN_IA8">[4]Report500!$D$22</definedName>
    <definedName name="LN_IB1">[4]Report500!$D$42</definedName>
    <definedName name="LN_IB10">[4]Report500!$D$51</definedName>
    <definedName name="LN_IB13">[4]Report500!$D$56</definedName>
    <definedName name="LN_IB14">[4]Report500!$D$57</definedName>
    <definedName name="LN_IB16">[4]Report500!$D$59</definedName>
    <definedName name="LN_IB17">[4]Report500!$D$60</definedName>
    <definedName name="LN_IB18">[4]Report500!$D$61</definedName>
    <definedName name="LN_IB19">[4]Report500!$D$62</definedName>
    <definedName name="LN_IB2">[4]Report500!$D$43</definedName>
    <definedName name="LN_IB20">[4]Report500!$D$63</definedName>
    <definedName name="LN_IB21">[4]Report500!$D$66</definedName>
    <definedName name="LN_IB22">[4]Report500!$D$67</definedName>
    <definedName name="LN_IB32">[4]Report500!$D$73</definedName>
    <definedName name="LN_IB33">[4]Report500!$D$74</definedName>
    <definedName name="LN_IB34">[4]Report500!$D$76</definedName>
    <definedName name="LN_IB4">[4]Report500!$D$45</definedName>
    <definedName name="LN_IB5">[4]Report500!$D$46</definedName>
    <definedName name="LN_IB6">[4]Report500!$D$47</definedName>
    <definedName name="LN_IB7">[4]Report500!$D$48</definedName>
    <definedName name="LN_IB8">[4]Report500!$D$49</definedName>
    <definedName name="LN_IB9">[4]Report500!$D$50</definedName>
    <definedName name="LN_IC1">[4]Report500!$D$83</definedName>
    <definedName name="LN_IC10">[4]Report500!$D$92</definedName>
    <definedName name="LN_IC11">[4]Report500!$D$93</definedName>
    <definedName name="LN_IC14">[4]Report500!$D$98</definedName>
    <definedName name="LN_IC15">[4]Report500!$D$99</definedName>
    <definedName name="LN_IC17">[4]Report500!$D$101</definedName>
    <definedName name="LN_IC18">[4]Report500!$D$102</definedName>
    <definedName name="LN_IC19">[4]Report500!$D$103</definedName>
    <definedName name="LN_IC2">[4]Report500!$D$84</definedName>
    <definedName name="LN_IC21">[4]Report500!$D$105</definedName>
    <definedName name="LN_IC22">[4]Report500!$D$106</definedName>
    <definedName name="LN_IC23">[4]Report500!$D$109</definedName>
    <definedName name="LN_IC24">[4]Report500!$D$110</definedName>
    <definedName name="LN_IC4">[4]Report500!$D$86</definedName>
    <definedName name="LN_IC5">[4]Report500!$D$87</definedName>
    <definedName name="LN_IC6">[4]Report500!$D$88</definedName>
    <definedName name="LN_IC7">[4]Report500!$D$89</definedName>
    <definedName name="LN_IC9">[4]Report500!$D$91</definedName>
    <definedName name="LN_ID1">[4]Report500!$D$118</definedName>
    <definedName name="LN_ID10">[4]Report500!$D$127</definedName>
    <definedName name="LN_ID11">[4]Report500!$D$128</definedName>
    <definedName name="LN_ID14">[4]Report500!$D$133</definedName>
    <definedName name="LN_ID15">[4]Report500!$D$134</definedName>
    <definedName name="LN_ID17">[4]Report500!$D$136</definedName>
    <definedName name="LN_ID18">[4]Report500!$D$137</definedName>
    <definedName name="LN_ID19">[4]Report500!$D$138</definedName>
    <definedName name="LN_ID21">[4]Report500!$D$140</definedName>
    <definedName name="LN_ID22">[4]Report500!$D$141</definedName>
    <definedName name="LN_ID23">[4]Report500!$D$144</definedName>
    <definedName name="LN_ID24">[4]Report500!$D$145</definedName>
    <definedName name="LN_ID4">[4]Report500!$D$121</definedName>
    <definedName name="LN_ID5">[4]Report500!$D$122</definedName>
    <definedName name="LN_ID6">[4]Report500!$D$123</definedName>
    <definedName name="LN_ID7">[4]Report500!$D$124</definedName>
    <definedName name="LN_ID9">[4]Report500!$D$126</definedName>
    <definedName name="LN_IE1">[4]Report500!$D$153</definedName>
    <definedName name="LN_IE10">[4]Report500!$D$162</definedName>
    <definedName name="LN_IE11">[4]Report500!$D$163</definedName>
    <definedName name="LN_IE14">[4]Report500!$D$168</definedName>
    <definedName name="LN_IE15">[4]Report500!$D$169</definedName>
    <definedName name="LN_IE17">[4]Report500!$D$171</definedName>
    <definedName name="LN_IE18">[4]Report500!$D$172</definedName>
    <definedName name="LN_IE19">[4]Report500!$D$173</definedName>
    <definedName name="LN_IE2">[4]Report500!$D$154</definedName>
    <definedName name="LN_IE21">[4]Report500!$D$175</definedName>
    <definedName name="LN_IE22">[4]Report500!$D$176</definedName>
    <definedName name="LN_IE23">[4]Report500!$D$179</definedName>
    <definedName name="LN_IE24">[4]Report500!$D$180</definedName>
    <definedName name="LN_IE4">[4]Report500!$D$156</definedName>
    <definedName name="LN_IE5">[4]Report500!$D$157</definedName>
    <definedName name="LN_IE6">[4]Report500!$D$158</definedName>
    <definedName name="LN_IE7">[4]Report500!$D$159</definedName>
    <definedName name="LN_IE9">[4]Report500!$D$161</definedName>
    <definedName name="LN_IF1">[4]Report500!$D$188</definedName>
    <definedName name="LN_IF11">[4]Report500!$D$198</definedName>
    <definedName name="LN_IF14">[4]Report500!$D$203</definedName>
    <definedName name="LN_IF15">[4]Report500!$D$204</definedName>
    <definedName name="LN_IF18">[4]Report500!$D$207</definedName>
    <definedName name="LN_IF19">[4]Report500!$D$208</definedName>
    <definedName name="LN_IF2">[4]Report500!$D$189</definedName>
    <definedName name="LN_IF21">[4]Report500!$D$210</definedName>
    <definedName name="LN_IF23">[4]Report500!$D$214</definedName>
    <definedName name="LN_IF24">[4]Report500!$D$215</definedName>
    <definedName name="LN_IF4">[4]Report500!$D$191</definedName>
    <definedName name="LN_IF5">[4]Report500!$D$192</definedName>
    <definedName name="LN_IF6">[4]Report500!$D$193</definedName>
    <definedName name="LN_IF7">[4]Report500!$D$194</definedName>
    <definedName name="LN_IF9">[4]Report500!$D$196</definedName>
    <definedName name="LN_IG1">[4]Report500!$D$221</definedName>
    <definedName name="LN_IG10">[4]Report500!$D$234</definedName>
    <definedName name="LN_IG13">[4]Report500!$D$237</definedName>
    <definedName name="LN_IG14">[4]Report500!$D$238</definedName>
    <definedName name="LN_IG2">[4]Report500!$D$222</definedName>
    <definedName name="LN_IG3">[4]Report500!$D$224</definedName>
    <definedName name="LN_IG4">[4]Report500!$D$225</definedName>
    <definedName name="LN_IG5">[4]Report500!$D$226</definedName>
    <definedName name="LN_IG6">[4]Report500!$D$228</definedName>
    <definedName name="LN_IG9">[4]Report500!$D$233</definedName>
    <definedName name="LN_IH10">[4]Report500!$D$256</definedName>
    <definedName name="LN_IH3">[4]Report500!$D$245</definedName>
    <definedName name="LN_IH4">[4]Report500!$D$248</definedName>
    <definedName name="LN_IH5">[4]Report500!$D$249</definedName>
    <definedName name="LN_IH6">[4]Report500!$D$250</definedName>
    <definedName name="LN_IH8">[4]Report500!$D$254</definedName>
    <definedName name="LN_IH9">[4]Report500!$D$255</definedName>
    <definedName name="LN_IIA1">[4]Report500!$D$261</definedName>
    <definedName name="LN_IIA11">[4]Report500!$D$271</definedName>
    <definedName name="LN_IIA12">[4]Report500!$D$272</definedName>
    <definedName name="LN_IIA14">[4]Report500!$D$274</definedName>
    <definedName name="LN_IIA2">[4]Report500!$D$262</definedName>
    <definedName name="LN_IIA4">[4]Report500!$D$264</definedName>
    <definedName name="LN_IIA6">[4]Report500!$D$266</definedName>
    <definedName name="LN_IIA7">[4]Report500!$D$267</definedName>
    <definedName name="LN_IIA9">[4]Report500!$D$269</definedName>
    <definedName name="LN_IIB11">[4]Report500!$D$287</definedName>
    <definedName name="LN_IIB12">[4]Report500!$D$288</definedName>
    <definedName name="LN_IIB14">[4]Report500!$D$291</definedName>
    <definedName name="LN_IIB2">[4]Report500!$D$278</definedName>
    <definedName name="LN_IIB4">[4]Report500!$D$280</definedName>
    <definedName name="LN_IIB6">[4]Report500!$D$282</definedName>
    <definedName name="LN_IIB7">[4]Report500!$D$283</definedName>
    <definedName name="LN_IIB9">[4]Report500!$D$285</definedName>
    <definedName name="LN_III1">[4]Report500!$D$304</definedName>
    <definedName name="LN_III10">[4]Report500!$D$313</definedName>
    <definedName name="LN_III2">[4]Report500!$D$305</definedName>
    <definedName name="LN_III3">[4]Report500!$D$307</definedName>
    <definedName name="LN_III4">[4]Report500!$D$308</definedName>
    <definedName name="LN_III5">[4]Report500!$D$306</definedName>
    <definedName name="LN_III6">[4]Report500!$D$309</definedName>
    <definedName name="LN_III7">[4]Report500!$D$310</definedName>
    <definedName name="LN_III8">[4]Report500!$D$311</definedName>
    <definedName name="LN_III9">[4]Report500!$D$312</definedName>
    <definedName name="LN_IV1">[4]Report500!$D$324</definedName>
    <definedName name="LN_IV2">[4]Report500!$D$322</definedName>
    <definedName name="LN_IV3">[4]Report500!$D$323</definedName>
    <definedName name="LN_IV4">[4]Report500!$D$325</definedName>
    <definedName name="MDC_Label" localSheetId="2">#REF!</definedName>
    <definedName name="MDC_Label" localSheetId="5">#REF!</definedName>
    <definedName name="MDC_Label" localSheetId="4">#REF!</definedName>
    <definedName name="MDC_Label">#REF!</definedName>
    <definedName name="MMMWEIGHTS_IMPACT_SUMMARY_936" localSheetId="2">#REF!</definedName>
    <definedName name="MMMWEIGHTS_IMPACT_SUMMARY_936" localSheetId="5">#REF!</definedName>
    <definedName name="MMMWEIGHTS_IMPACT_SUMMARY_936" localSheetId="4">#REF!</definedName>
    <definedName name="MMMWEIGHTS_IMPACT_SUMMARY_936">#REF!</definedName>
    <definedName name="NeonateSUMRY2b" localSheetId="2">#REF!</definedName>
    <definedName name="NeonateSUMRY2b" localSheetId="5">#REF!</definedName>
    <definedName name="NeonateSUMRY2b" localSheetId="4">#REF!</definedName>
    <definedName name="NeonateSUMRY2b">#REF!</definedName>
    <definedName name="PIP11_PaidMemo" localSheetId="2">#REF!</definedName>
    <definedName name="PIP11_PaidMemo" localSheetId="3">#REF!</definedName>
    <definedName name="PIP11_PaidMemo" localSheetId="5">#REF!</definedName>
    <definedName name="PIP11_PaidMemo" localSheetId="4">#REF!</definedName>
    <definedName name="PIP11_PaidMemo">#REF!</definedName>
    <definedName name="PIP11_PaidMemo_f" localSheetId="2">#REF!</definedName>
    <definedName name="PIP11_PaidMemo_f" localSheetId="3">#REF!</definedName>
    <definedName name="PIP11_PaidMemo_f" localSheetId="5">#REF!</definedName>
    <definedName name="PIP11_PaidMemo_f" localSheetId="4">#REF!</definedName>
    <definedName name="PIP11_PaidMemo_f">#REF!</definedName>
    <definedName name="PIP11_PaidMemo_final" localSheetId="2">#REF!</definedName>
    <definedName name="PIP11_PaidMemo_final" localSheetId="3">#REF!</definedName>
    <definedName name="PIP11_PaidMemo_final" localSheetId="5">#REF!</definedName>
    <definedName name="PIP11_PaidMemo_final" localSheetId="4">#REF!</definedName>
    <definedName name="PIP11_PaidMemo_final">#REF!</definedName>
    <definedName name="PIP11_PaidMemo_final_n" localSheetId="2">#REF!</definedName>
    <definedName name="PIP11_PaidMemo_final_n" localSheetId="3">#REF!</definedName>
    <definedName name="PIP11_PaidMemo_final_n" localSheetId="5">#REF!</definedName>
    <definedName name="PIP11_PaidMemo_final_n" localSheetId="4">#REF!</definedName>
    <definedName name="PIP11_PaidMemo_final_n">#REF!</definedName>
    <definedName name="PIP12_PaidMemo_f" localSheetId="2">#REF!</definedName>
    <definedName name="PIP12_PaidMemo_f" localSheetId="3">#REF!</definedName>
    <definedName name="PIP12_PaidMemo_f" localSheetId="5">#REF!</definedName>
    <definedName name="PIP12_PaidMemo_f" localSheetId="4">#REF!</definedName>
    <definedName name="PIP12_PaidMemo_f">#REF!</definedName>
    <definedName name="PIP12_PaidMemo_final" localSheetId="2">#REF!</definedName>
    <definedName name="PIP12_PaidMemo_final" localSheetId="3">#REF!</definedName>
    <definedName name="PIP12_PaidMemo_final" localSheetId="5">#REF!</definedName>
    <definedName name="PIP12_PaidMemo_final" localSheetId="4">#REF!</definedName>
    <definedName name="PIP12_PaidMemo_final">#REF!</definedName>
    <definedName name="PIP12_PaidMemo_final_n" localSheetId="2">#REF!</definedName>
    <definedName name="PIP12_PaidMemo_final_n" localSheetId="3">#REF!</definedName>
    <definedName name="PIP12_PaidMemo_final_n" localSheetId="5">#REF!</definedName>
    <definedName name="PIP12_PaidMemo_final_n" localSheetId="4">#REF!</definedName>
    <definedName name="PIP12_PaidMemo_final_n">#REF!</definedName>
    <definedName name="PIP13_PaidMemo_f" localSheetId="2">#REF!</definedName>
    <definedName name="PIP13_PaidMemo_f" localSheetId="3">#REF!</definedName>
    <definedName name="PIP13_PaidMemo_f" localSheetId="5">#REF!</definedName>
    <definedName name="PIP13_PaidMemo_f" localSheetId="4">#REF!</definedName>
    <definedName name="PIP13_PaidMemo_f">#REF!</definedName>
    <definedName name="PIP13_PaidMemo_final" localSheetId="2">#REF!</definedName>
    <definedName name="PIP13_PaidMemo_final" localSheetId="3">#REF!</definedName>
    <definedName name="PIP13_PaidMemo_final" localSheetId="5">#REF!</definedName>
    <definedName name="PIP13_PaidMemo_final" localSheetId="4">#REF!</definedName>
    <definedName name="PIP13_PaidMemo_final">#REF!</definedName>
    <definedName name="PIP13_PaidMemo_final_n" localSheetId="2">#REF!</definedName>
    <definedName name="PIP13_PaidMemo_final_n" localSheetId="3">#REF!</definedName>
    <definedName name="PIP13_PaidMemo_final_n" localSheetId="5">#REF!</definedName>
    <definedName name="PIP13_PaidMemo_final_n" localSheetId="4">#REF!</definedName>
    <definedName name="PIP13_PaidMemo_final_n">#REF!</definedName>
    <definedName name="PIP14_PaidMemo_f" localSheetId="2">#REF!</definedName>
    <definedName name="PIP14_PaidMemo_f" localSheetId="3">#REF!</definedName>
    <definedName name="PIP14_PaidMemo_f" localSheetId="5">#REF!</definedName>
    <definedName name="PIP14_PaidMemo_f" localSheetId="4">#REF!</definedName>
    <definedName name="PIP14_PaidMemo_f">#REF!</definedName>
    <definedName name="PIP14_PaidMemo_final" localSheetId="2">#REF!</definedName>
    <definedName name="PIP14_PaidMemo_final" localSheetId="3">#REF!</definedName>
    <definedName name="PIP14_PaidMemo_final" localSheetId="5">#REF!</definedName>
    <definedName name="PIP14_PaidMemo_final" localSheetId="4">#REF!</definedName>
    <definedName name="PIP14_PaidMemo_final">#REF!</definedName>
    <definedName name="PIP14_PaidMemo_final_n" localSheetId="2">#REF!</definedName>
    <definedName name="PIP14_PaidMemo_final_n" localSheetId="3">#REF!</definedName>
    <definedName name="PIP14_PaidMemo_final_n" localSheetId="5">#REF!</definedName>
    <definedName name="PIP14_PaidMemo_final_n" localSheetId="4">#REF!</definedName>
    <definedName name="PIP14_PaidMemo_final_n">#REF!</definedName>
    <definedName name="PolicyImpact" localSheetId="2">#REF!</definedName>
    <definedName name="PolicyImpact" localSheetId="5">#REF!</definedName>
    <definedName name="PolicyImpact" localSheetId="4">#REF!</definedName>
    <definedName name="PolicyImpact">#REF!</definedName>
    <definedName name="pps_3std" localSheetId="2">#REF!</definedName>
    <definedName name="pps_3std" localSheetId="5">#REF!</definedName>
    <definedName name="pps_3std" localSheetId="4">#REF!</definedName>
    <definedName name="pps_3std">#REF!</definedName>
    <definedName name="PricingCDImpact" localSheetId="2">#REF!</definedName>
    <definedName name="PricingCDImpact" localSheetId="5">#REF!</definedName>
    <definedName name="PricingCDImpact" localSheetId="4">#REF!</definedName>
    <definedName name="PricingCDImpact">#REF!</definedName>
    <definedName name="PRINT" localSheetId="2">#REF!</definedName>
    <definedName name="PRINT" localSheetId="3">#REF!</definedName>
    <definedName name="PRINT" localSheetId="5">#REF!</definedName>
    <definedName name="PRINT" localSheetId="4">#REF!</definedName>
    <definedName name="PRINT">#REF!</definedName>
    <definedName name="_xlnm.Print_Area" localSheetId="2">'2020 Detail'!$A$1:$H$90</definedName>
    <definedName name="_xlnm.Print_Area" localSheetId="3">'IP Supp Combo'!$B$1:$I$36</definedName>
    <definedName name="_xlnm.Print_Area">#REF!</definedName>
    <definedName name="PRINT_AREA_MI" localSheetId="2">#REF!</definedName>
    <definedName name="PRINT_AREA_MI" localSheetId="3">#REF!</definedName>
    <definedName name="PRINT_AREA_MI" localSheetId="5">#REF!</definedName>
    <definedName name="PRINT_AREA_MI" localSheetId="4">#REF!</definedName>
    <definedName name="PRINT_AREA_MI">#REF!</definedName>
    <definedName name="_xlnm.Print_Titles" localSheetId="3">#REF!</definedName>
    <definedName name="_xlnm.Print_Titles">#REF!</definedName>
    <definedName name="PRINT_TITLES_MI" localSheetId="2">#REF!</definedName>
    <definedName name="PRINT_TITLES_MI" localSheetId="3">#REF!</definedName>
    <definedName name="PRINT_TITLES_MI" localSheetId="5">#REF!</definedName>
    <definedName name="PRINT_TITLES_MI" localSheetId="4">#REF!</definedName>
    <definedName name="PRINT_TITLES_MI">#REF!</definedName>
    <definedName name="prov_name">[5]Medicaid!$A$3</definedName>
    <definedName name="PROVIDER_SUMM" localSheetId="2">#REF!</definedName>
    <definedName name="PROVIDER_SUMM" localSheetId="5">#REF!</definedName>
    <definedName name="PROVIDER_SUMM" localSheetId="4">#REF!</definedName>
    <definedName name="PROVIDER_SUMM">#REF!</definedName>
    <definedName name="ProvNum">[6]Main!$A$4</definedName>
    <definedName name="PROVSUMMARY" localSheetId="2">#REF!</definedName>
    <definedName name="PROVSUMMARY" localSheetId="5">#REF!</definedName>
    <definedName name="PROVSUMMARY" localSheetId="4">#REF!</definedName>
    <definedName name="PROVSUMMARY">#REF!</definedName>
    <definedName name="rate" localSheetId="2">#REF!</definedName>
    <definedName name="rate" localSheetId="3">#REF!</definedName>
    <definedName name="rate" localSheetId="5">#REF!</definedName>
    <definedName name="rate" localSheetId="4">#REF!</definedName>
    <definedName name="rate">#REF!</definedName>
    <definedName name="RateTypeAssignment">[3]Lookup!$E$4:$E$39</definedName>
    <definedName name="Sample_Impact_base" localSheetId="2">#REF!</definedName>
    <definedName name="Sample_Impact_base" localSheetId="5">#REF!</definedName>
    <definedName name="Sample_Impact_base" localSheetId="4">#REF!</definedName>
    <definedName name="Sample_Impact_base">#REF!</definedName>
    <definedName name="SOI">[2]Lists!$D$3:$D$6</definedName>
    <definedName name="STATUS_BY_SFY" localSheetId="2">#REF!</definedName>
    <definedName name="STATUS_BY_SFY" localSheetId="5">#REF!</definedName>
    <definedName name="STATUS_BY_SFY" localSheetId="4">#REF!</definedName>
    <definedName name="STATUS_BY_SFY">#REF!</definedName>
    <definedName name="SvcImpact" localSheetId="2">#REF!</definedName>
    <definedName name="SvcImpact" localSheetId="5">#REF!</definedName>
    <definedName name="SvcImpact" localSheetId="4">#REF!</definedName>
    <definedName name="SvcImpact">#REF!</definedName>
    <definedName name="SVCLEVEL" localSheetId="2">#REF!</definedName>
    <definedName name="SVCLEVEL" localSheetId="5">#REF!</definedName>
    <definedName name="SVCLEVEL" localSheetId="4">#REF!</definedName>
    <definedName name="SVCLEVEL">#REF!</definedName>
    <definedName name="SVCSUMRY" localSheetId="2">#REF!</definedName>
    <definedName name="SVCSUMRY" localSheetId="5">#REF!</definedName>
    <definedName name="SVCSUMRY" localSheetId="4">#REF!</definedName>
    <definedName name="SVCSUMRY">#REF!</definedName>
    <definedName name="TblStep_1" localSheetId="2">#REF!</definedName>
    <definedName name="TblStep_1" localSheetId="3">#REF!</definedName>
    <definedName name="TblStep_1" localSheetId="5">#REF!</definedName>
    <definedName name="TblStep_1" localSheetId="4">#REF!</definedName>
    <definedName name="TblStep_1">#REF!</definedName>
    <definedName name="TOTAL" localSheetId="2">#REF!</definedName>
    <definedName name="TOTAL" localSheetId="5">#REF!</definedName>
    <definedName name="TOTAL" localSheetId="4">#REF!</definedName>
    <definedName name="TOTAL">#REF!</definedName>
  </definedNames>
  <calcPr calcId="145621" iterateDelta="252"/>
</workbook>
</file>

<file path=xl/calcChain.xml><?xml version="1.0" encoding="utf-8"?>
<calcChain xmlns="http://schemas.openxmlformats.org/spreadsheetml/2006/main">
  <c r="F43" i="31" l="1"/>
  <c r="E42" i="31"/>
  <c r="D42" i="31"/>
  <c r="C42" i="31"/>
  <c r="B42" i="31"/>
  <c r="E41" i="31"/>
  <c r="D41" i="31"/>
  <c r="C41" i="31"/>
  <c r="B41" i="31"/>
  <c r="E40" i="31"/>
  <c r="D40" i="31"/>
  <c r="C40" i="31"/>
  <c r="B40" i="31"/>
  <c r="E39" i="31"/>
  <c r="D39" i="31"/>
  <c r="C39" i="31"/>
  <c r="B39" i="31"/>
  <c r="E38" i="31"/>
  <c r="D38" i="31"/>
  <c r="C38" i="31"/>
  <c r="B38" i="31"/>
  <c r="E37" i="31"/>
  <c r="D37" i="31"/>
  <c r="C37" i="31"/>
  <c r="B37" i="31"/>
  <c r="E36" i="31"/>
  <c r="D36" i="31"/>
  <c r="C36" i="31"/>
  <c r="B36" i="31"/>
  <c r="E35" i="31"/>
  <c r="D35" i="31"/>
  <c r="C35" i="31"/>
  <c r="B35" i="31"/>
  <c r="E34" i="31"/>
  <c r="D34" i="31"/>
  <c r="C34" i="31"/>
  <c r="B34" i="31"/>
  <c r="E33" i="31"/>
  <c r="D33" i="31"/>
  <c r="C33" i="31"/>
  <c r="B33" i="31"/>
  <c r="E32" i="31"/>
  <c r="D32" i="31"/>
  <c r="C32" i="31"/>
  <c r="B32" i="31"/>
  <c r="E31" i="31"/>
  <c r="D31" i="31"/>
  <c r="C31" i="31"/>
  <c r="B31" i="31"/>
  <c r="E30" i="31"/>
  <c r="D30" i="31"/>
  <c r="C30" i="31"/>
  <c r="B30" i="31"/>
  <c r="E29" i="31"/>
  <c r="D29" i="31"/>
  <c r="C29" i="31"/>
  <c r="B29" i="31"/>
  <c r="E28" i="31"/>
  <c r="D28" i="31"/>
  <c r="C28" i="31"/>
  <c r="B28" i="31"/>
  <c r="E27" i="31"/>
  <c r="D27" i="31"/>
  <c r="C27" i="31"/>
  <c r="B27" i="31"/>
  <c r="E26" i="31"/>
  <c r="D26" i="31"/>
  <c r="C26" i="31"/>
  <c r="B26" i="31"/>
  <c r="E25" i="31"/>
  <c r="D25" i="31"/>
  <c r="C25" i="31"/>
  <c r="B25" i="31"/>
  <c r="E24" i="31"/>
  <c r="D24" i="31"/>
  <c r="C24" i="31"/>
  <c r="B24" i="31"/>
  <c r="E23" i="31"/>
  <c r="D23" i="31"/>
  <c r="C23" i="31"/>
  <c r="B23" i="31"/>
  <c r="E22" i="31"/>
  <c r="D22" i="31"/>
  <c r="C22" i="31"/>
  <c r="B22" i="31"/>
  <c r="E21" i="31"/>
  <c r="D21" i="31"/>
  <c r="C21" i="31"/>
  <c r="B21" i="31"/>
  <c r="E20" i="31"/>
  <c r="D20" i="31"/>
  <c r="C20" i="31"/>
  <c r="B20" i="31"/>
  <c r="E19" i="31"/>
  <c r="D19" i="31"/>
  <c r="C19" i="31"/>
  <c r="B19" i="31"/>
  <c r="E18" i="31"/>
  <c r="D18" i="31"/>
  <c r="C18" i="31"/>
  <c r="B18" i="31"/>
  <c r="E17" i="31"/>
  <c r="D17" i="31"/>
  <c r="C17" i="31"/>
  <c r="B17" i="31"/>
  <c r="B10" i="31"/>
  <c r="B12" i="31" s="1"/>
  <c r="C43" i="31" l="1"/>
  <c r="G42" i="31"/>
  <c r="D43" i="31"/>
  <c r="G18" i="31"/>
  <c r="G19" i="31"/>
  <c r="G20" i="31"/>
  <c r="G22" i="31"/>
  <c r="G23" i="31"/>
  <c r="G24" i="31"/>
  <c r="G26" i="31"/>
  <c r="G27" i="31"/>
  <c r="G28" i="31"/>
  <c r="G30" i="31"/>
  <c r="G31" i="31"/>
  <c r="G32" i="31"/>
  <c r="G34" i="31"/>
  <c r="G35" i="31"/>
  <c r="G36" i="31"/>
  <c r="G38" i="31"/>
  <c r="G39" i="31"/>
  <c r="G40" i="31"/>
  <c r="C8" i="31"/>
  <c r="C7" i="31"/>
  <c r="C5" i="31"/>
  <c r="D5" i="31" s="1"/>
  <c r="C6" i="31"/>
  <c r="D6" i="31" s="1"/>
  <c r="H5" i="5" s="1"/>
  <c r="C9" i="31"/>
  <c r="E43" i="31"/>
  <c r="B43" i="31"/>
  <c r="G21" i="31"/>
  <c r="G25" i="31"/>
  <c r="G29" i="31"/>
  <c r="G33" i="31"/>
  <c r="G37" i="31"/>
  <c r="G41" i="31"/>
  <c r="G17" i="31"/>
  <c r="D7" i="31" l="1"/>
  <c r="I5" i="5" s="1"/>
  <c r="D9" i="31"/>
  <c r="E8" i="7" s="1"/>
  <c r="D8" i="31"/>
  <c r="G5" i="11" s="1"/>
  <c r="C10" i="31"/>
  <c r="G43" i="31"/>
  <c r="G9" i="30"/>
  <c r="G17" i="11" l="1"/>
  <c r="E56" i="31" s="1"/>
  <c r="G33" i="11"/>
  <c r="E72" i="31" s="1"/>
  <c r="G35" i="11"/>
  <c r="G27" i="11"/>
  <c r="E66" i="31" s="1"/>
  <c r="G32" i="11"/>
  <c r="E71" i="31" s="1"/>
  <c r="E85" i="31" s="1"/>
  <c r="G31" i="11"/>
  <c r="E69" i="31" s="1"/>
  <c r="G22" i="11"/>
  <c r="E61" i="31" s="1"/>
  <c r="G30" i="11"/>
  <c r="E68" i="31" s="1"/>
  <c r="G23" i="11"/>
  <c r="E63" i="31" s="1"/>
  <c r="E87" i="31" s="1"/>
  <c r="G20" i="11"/>
  <c r="E59" i="31" s="1"/>
  <c r="G13" i="11"/>
  <c r="E52" i="31" s="1"/>
  <c r="G14" i="11"/>
  <c r="E53" i="31" s="1"/>
  <c r="E89" i="31" s="1"/>
  <c r="G10" i="11"/>
  <c r="E49" i="31" s="1"/>
  <c r="G24" i="11"/>
  <c r="E62" i="31" s="1"/>
  <c r="G16" i="11"/>
  <c r="E55" i="31" s="1"/>
  <c r="E88" i="31" s="1"/>
  <c r="E32" i="7"/>
  <c r="E23" i="7"/>
  <c r="F63" i="31" s="1"/>
  <c r="F87" i="31" s="1"/>
  <c r="E34" i="7"/>
  <c r="F74" i="31" s="1"/>
  <c r="E20" i="7"/>
  <c r="F60" i="31" s="1"/>
  <c r="E26" i="7"/>
  <c r="F66" i="31" s="1"/>
  <c r="E13" i="7"/>
  <c r="F53" i="31" s="1"/>
  <c r="F89" i="31" s="1"/>
  <c r="E31" i="7"/>
  <c r="F71" i="31" s="1"/>
  <c r="F85" i="31" s="1"/>
  <c r="E10" i="7"/>
  <c r="F50" i="31" s="1"/>
  <c r="E24" i="7"/>
  <c r="E9" i="7"/>
  <c r="F49" i="31" s="1"/>
  <c r="E27" i="7"/>
  <c r="F67" i="31" s="1"/>
  <c r="E11" i="7"/>
  <c r="E14" i="7"/>
  <c r="F54" i="31" s="1"/>
  <c r="E16" i="7"/>
  <c r="F56" i="31" s="1"/>
  <c r="E17" i="7"/>
  <c r="F57" i="31" s="1"/>
  <c r="E18" i="7"/>
  <c r="E28" i="7"/>
  <c r="F68" i="31" s="1"/>
  <c r="E12" i="7"/>
  <c r="F52" i="31" s="1"/>
  <c r="E21" i="7"/>
  <c r="F61" i="31" s="1"/>
  <c r="E30" i="7"/>
  <c r="F70" i="31" s="1"/>
  <c r="E29" i="7"/>
  <c r="F69" i="31" s="1"/>
  <c r="E22" i="7"/>
  <c r="F62" i="31" s="1"/>
  <c r="E19" i="7"/>
  <c r="F59" i="31" s="1"/>
  <c r="E25" i="7"/>
  <c r="F65" i="31" s="1"/>
  <c r="E15" i="7"/>
  <c r="E33" i="7"/>
  <c r="F73" i="31" s="1"/>
  <c r="G21" i="11"/>
  <c r="G25" i="11"/>
  <c r="G28" i="11"/>
  <c r="E70" i="31" s="1"/>
  <c r="G18" i="11"/>
  <c r="E57" i="31" s="1"/>
  <c r="G12" i="11"/>
  <c r="E51" i="31" s="1"/>
  <c r="E86" i="31" s="1"/>
  <c r="G26" i="11"/>
  <c r="E65" i="31" s="1"/>
  <c r="G11" i="11"/>
  <c r="E50" i="31" s="1"/>
  <c r="G29" i="11"/>
  <c r="E67" i="31" s="1"/>
  <c r="G19" i="11"/>
  <c r="E58" i="31" s="1"/>
  <c r="G15" i="11"/>
  <c r="G34" i="11"/>
  <c r="E73" i="31" s="1"/>
  <c r="E60" i="31"/>
  <c r="F64" i="31"/>
  <c r="E74" i="31"/>
  <c r="F55" i="31"/>
  <c r="F88" i="31" s="1"/>
  <c r="F58" i="31"/>
  <c r="E64" i="31"/>
  <c r="D10" i="31"/>
  <c r="F81" i="31" l="1"/>
  <c r="E83" i="31"/>
  <c r="F82" i="31"/>
  <c r="E54" i="31"/>
  <c r="E81" i="31" s="1"/>
  <c r="E80" i="31"/>
  <c r="F80" i="31"/>
  <c r="F51" i="31"/>
  <c r="F86" i="31" s="1"/>
  <c r="E84" i="31"/>
  <c r="F84" i="31"/>
  <c r="E82" i="31"/>
  <c r="F72" i="31"/>
  <c r="F83" i="31" s="1"/>
  <c r="C40" i="30"/>
  <c r="D22" i="30" s="1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75" i="31" l="1"/>
  <c r="F75" i="31"/>
  <c r="E90" i="31"/>
  <c r="F90" i="31"/>
  <c r="D15" i="30"/>
  <c r="D28" i="30"/>
  <c r="D17" i="30"/>
  <c r="D19" i="30"/>
  <c r="E40" i="30"/>
  <c r="F28" i="30" s="1"/>
  <c r="G28" i="30" s="1"/>
  <c r="E10" i="11"/>
  <c r="E37" i="11" s="1"/>
  <c r="F10" i="11" s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D40" i="30" l="1"/>
  <c r="B64" i="31"/>
  <c r="F34" i="30"/>
  <c r="F22" i="30"/>
  <c r="F32" i="30"/>
  <c r="F26" i="30"/>
  <c r="F16" i="30"/>
  <c r="F21" i="30"/>
  <c r="F30" i="30"/>
  <c r="F24" i="30"/>
  <c r="F14" i="30"/>
  <c r="F27" i="30"/>
  <c r="F25" i="30"/>
  <c r="F23" i="30"/>
  <c r="F18" i="30"/>
  <c r="F13" i="30"/>
  <c r="G13" i="30" s="1"/>
  <c r="F35" i="30"/>
  <c r="F29" i="30"/>
  <c r="F15" i="30"/>
  <c r="G15" i="30" s="1"/>
  <c r="F37" i="30"/>
  <c r="F33" i="30"/>
  <c r="F31" i="30"/>
  <c r="F20" i="30"/>
  <c r="F36" i="30"/>
  <c r="F19" i="30"/>
  <c r="G19" i="30" s="1"/>
  <c r="F38" i="30"/>
  <c r="F17" i="30"/>
  <c r="G17" i="30" s="1"/>
  <c r="F28" i="11"/>
  <c r="F12" i="11"/>
  <c r="F32" i="11"/>
  <c r="F24" i="11"/>
  <c r="F20" i="11"/>
  <c r="F16" i="11"/>
  <c r="F35" i="11"/>
  <c r="F31" i="11"/>
  <c r="F27" i="11"/>
  <c r="F23" i="11"/>
  <c r="F19" i="11"/>
  <c r="F15" i="11"/>
  <c r="F11" i="11"/>
  <c r="F33" i="11"/>
  <c r="F29" i="11"/>
  <c r="F25" i="11"/>
  <c r="F21" i="11"/>
  <c r="F17" i="11"/>
  <c r="F13" i="11"/>
  <c r="F34" i="11"/>
  <c r="F30" i="11"/>
  <c r="F26" i="11"/>
  <c r="F22" i="11"/>
  <c r="F18" i="11"/>
  <c r="F14" i="11"/>
  <c r="B49" i="31" l="1"/>
  <c r="B53" i="31"/>
  <c r="B89" i="31" s="1"/>
  <c r="B51" i="31"/>
  <c r="B86" i="31" s="1"/>
  <c r="B55" i="31"/>
  <c r="B88" i="31" s="1"/>
  <c r="G27" i="30"/>
  <c r="G21" i="30"/>
  <c r="G22" i="30"/>
  <c r="G38" i="30"/>
  <c r="G31" i="30"/>
  <c r="G29" i="30"/>
  <c r="G23" i="30"/>
  <c r="G24" i="30"/>
  <c r="G26" i="30"/>
  <c r="G33" i="30"/>
  <c r="G35" i="30"/>
  <c r="G25" i="30"/>
  <c r="G30" i="30"/>
  <c r="G32" i="30"/>
  <c r="G36" i="30"/>
  <c r="G37" i="30"/>
  <c r="G20" i="30"/>
  <c r="G18" i="30"/>
  <c r="G14" i="30"/>
  <c r="G16" i="30"/>
  <c r="G34" i="30"/>
  <c r="F40" i="30"/>
  <c r="F37" i="11"/>
  <c r="G37" i="11"/>
  <c r="B50" i="31" l="1"/>
  <c r="B72" i="31"/>
  <c r="B71" i="31"/>
  <c r="B85" i="31" s="1"/>
  <c r="B59" i="31"/>
  <c r="B58" i="31"/>
  <c r="B54" i="31"/>
  <c r="B67" i="31"/>
  <c r="B68" i="31"/>
  <c r="B65" i="31"/>
  <c r="B57" i="31"/>
  <c r="B69" i="31"/>
  <c r="B56" i="31"/>
  <c r="B66" i="31"/>
  <c r="B63" i="31"/>
  <c r="B87" i="31" s="1"/>
  <c r="B70" i="31"/>
  <c r="B62" i="31"/>
  <c r="B52" i="31"/>
  <c r="B73" i="31"/>
  <c r="B61" i="31"/>
  <c r="B60" i="31"/>
  <c r="B74" i="31"/>
  <c r="G40" i="30"/>
  <c r="F25" i="5"/>
  <c r="F26" i="5"/>
  <c r="F27" i="5"/>
  <c r="F28" i="5"/>
  <c r="F29" i="5"/>
  <c r="F30" i="5"/>
  <c r="F31" i="5"/>
  <c r="F32" i="5"/>
  <c r="F33" i="5"/>
  <c r="F34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9" i="5"/>
  <c r="B80" i="31" l="1"/>
  <c r="B81" i="31"/>
  <c r="B84" i="31"/>
  <c r="B75" i="31"/>
  <c r="B82" i="31"/>
  <c r="B83" i="31"/>
  <c r="F35" i="5"/>
  <c r="G10" i="5" s="1"/>
  <c r="B90" i="31" l="1"/>
  <c r="H10" i="5"/>
  <c r="G29" i="5"/>
  <c r="G34" i="5"/>
  <c r="G23" i="5"/>
  <c r="G22" i="5"/>
  <c r="G32" i="5"/>
  <c r="G16" i="5"/>
  <c r="G33" i="5"/>
  <c r="G13" i="5"/>
  <c r="G28" i="5"/>
  <c r="G12" i="5"/>
  <c r="G19" i="5"/>
  <c r="G18" i="5"/>
  <c r="G9" i="5"/>
  <c r="G26" i="5"/>
  <c r="G17" i="5"/>
  <c r="G24" i="5"/>
  <c r="G31" i="5"/>
  <c r="G15" i="5"/>
  <c r="G14" i="5"/>
  <c r="G25" i="5"/>
  <c r="G30" i="5"/>
  <c r="G21" i="5"/>
  <c r="G20" i="5"/>
  <c r="G27" i="5"/>
  <c r="G11" i="5"/>
  <c r="C50" i="31" l="1"/>
  <c r="H21" i="5"/>
  <c r="H15" i="5"/>
  <c r="H26" i="5"/>
  <c r="H12" i="5"/>
  <c r="H16" i="5"/>
  <c r="H34" i="5"/>
  <c r="H11" i="5"/>
  <c r="H30" i="5"/>
  <c r="H31" i="5"/>
  <c r="H9" i="5"/>
  <c r="H28" i="5"/>
  <c r="H32" i="5"/>
  <c r="H27" i="5"/>
  <c r="H25" i="5"/>
  <c r="H24" i="5"/>
  <c r="H18" i="5"/>
  <c r="H13" i="5"/>
  <c r="H22" i="5"/>
  <c r="H20" i="5"/>
  <c r="H14" i="5"/>
  <c r="H17" i="5"/>
  <c r="H19" i="5"/>
  <c r="H33" i="5"/>
  <c r="H23" i="5"/>
  <c r="H29" i="5"/>
  <c r="G35" i="5"/>
  <c r="C73" i="31" l="1"/>
  <c r="C60" i="31"/>
  <c r="C64" i="31"/>
  <c r="C68" i="31"/>
  <c r="C51" i="31"/>
  <c r="C86" i="31" s="1"/>
  <c r="C66" i="31"/>
  <c r="C59" i="31"/>
  <c r="C62" i="31"/>
  <c r="C65" i="31"/>
  <c r="C49" i="31"/>
  <c r="C74" i="31"/>
  <c r="C55" i="31"/>
  <c r="C88" i="31" s="1"/>
  <c r="C69" i="31"/>
  <c r="C57" i="31"/>
  <c r="C53" i="31"/>
  <c r="C89" i="31" s="1"/>
  <c r="C67" i="31"/>
  <c r="C71" i="31"/>
  <c r="C85" i="31" s="1"/>
  <c r="C56" i="31"/>
  <c r="C61" i="31"/>
  <c r="C63" i="31"/>
  <c r="C87" i="31" s="1"/>
  <c r="C54" i="31"/>
  <c r="C58" i="31"/>
  <c r="C72" i="31"/>
  <c r="C70" i="31"/>
  <c r="C52" i="31"/>
  <c r="H35" i="5"/>
  <c r="C83" i="31" l="1"/>
  <c r="C81" i="31"/>
  <c r="C82" i="31"/>
  <c r="C80" i="31"/>
  <c r="C84" i="31"/>
  <c r="C75" i="31"/>
  <c r="C90" i="31" l="1"/>
  <c r="D35" i="5"/>
  <c r="E33" i="5" s="1"/>
  <c r="E7" i="5"/>
  <c r="E5" i="5"/>
  <c r="E4" i="5"/>
  <c r="E3" i="5"/>
  <c r="C37" i="11"/>
  <c r="D34" i="11" s="1"/>
  <c r="B35" i="7"/>
  <c r="C33" i="7" s="1"/>
  <c r="C26" i="7"/>
  <c r="C15" i="7"/>
  <c r="C10" i="7"/>
  <c r="I33" i="5" l="1"/>
  <c r="D17" i="11"/>
  <c r="D19" i="11"/>
  <c r="D11" i="11"/>
  <c r="D33" i="11"/>
  <c r="D27" i="11"/>
  <c r="D25" i="11"/>
  <c r="D13" i="11"/>
  <c r="D21" i="11"/>
  <c r="D29" i="11"/>
  <c r="D15" i="11"/>
  <c r="D23" i="11"/>
  <c r="D31" i="11"/>
  <c r="E16" i="5"/>
  <c r="E23" i="5"/>
  <c r="E32" i="5"/>
  <c r="E15" i="5"/>
  <c r="E24" i="5"/>
  <c r="E31" i="5"/>
  <c r="E9" i="5"/>
  <c r="D10" i="7"/>
  <c r="D26" i="7"/>
  <c r="D15" i="7"/>
  <c r="D33" i="7"/>
  <c r="C18" i="7"/>
  <c r="C23" i="7"/>
  <c r="C31" i="7"/>
  <c r="C9" i="7"/>
  <c r="C12" i="7"/>
  <c r="C17" i="7"/>
  <c r="C20" i="7"/>
  <c r="C25" i="7"/>
  <c r="C28" i="7"/>
  <c r="C11" i="7"/>
  <c r="C14" i="7"/>
  <c r="C19" i="7"/>
  <c r="C22" i="7"/>
  <c r="C27" i="7"/>
  <c r="C30" i="7"/>
  <c r="C34" i="7"/>
  <c r="C13" i="7"/>
  <c r="C16" i="7"/>
  <c r="C21" i="7"/>
  <c r="C24" i="7"/>
  <c r="C29" i="7"/>
  <c r="C32" i="7"/>
  <c r="D12" i="11"/>
  <c r="D16" i="11"/>
  <c r="D20" i="11"/>
  <c r="D24" i="11"/>
  <c r="D28" i="11"/>
  <c r="D32" i="11"/>
  <c r="D10" i="11"/>
  <c r="D14" i="11"/>
  <c r="D18" i="11"/>
  <c r="D22" i="11"/>
  <c r="D26" i="11"/>
  <c r="D30" i="11"/>
  <c r="D35" i="11"/>
  <c r="E18" i="5"/>
  <c r="E22" i="5"/>
  <c r="E19" i="5"/>
  <c r="E20" i="5"/>
  <c r="E34" i="5"/>
  <c r="E10" i="5"/>
  <c r="E11" i="5"/>
  <c r="E12" i="5"/>
  <c r="E14" i="5"/>
  <c r="E26" i="5"/>
  <c r="E27" i="5"/>
  <c r="E28" i="5"/>
  <c r="E30" i="5"/>
  <c r="E13" i="5"/>
  <c r="E17" i="5"/>
  <c r="E21" i="5"/>
  <c r="E25" i="5"/>
  <c r="E29" i="5"/>
  <c r="D73" i="31" l="1"/>
  <c r="G73" i="31" s="1"/>
  <c r="I20" i="5"/>
  <c r="I21" i="5"/>
  <c r="I28" i="5"/>
  <c r="I12" i="5"/>
  <c r="I15" i="5"/>
  <c r="I17" i="5"/>
  <c r="I27" i="5"/>
  <c r="I11" i="5"/>
  <c r="I19" i="5"/>
  <c r="I9" i="5"/>
  <c r="I32" i="5"/>
  <c r="I29" i="5"/>
  <c r="I13" i="5"/>
  <c r="I26" i="5"/>
  <c r="I10" i="5"/>
  <c r="I22" i="5"/>
  <c r="I31" i="5"/>
  <c r="I23" i="5"/>
  <c r="I25" i="5"/>
  <c r="I30" i="5"/>
  <c r="I14" i="5"/>
  <c r="I34" i="5"/>
  <c r="I18" i="5"/>
  <c r="I24" i="5"/>
  <c r="I16" i="5"/>
  <c r="D29" i="7"/>
  <c r="D13" i="7"/>
  <c r="D22" i="7"/>
  <c r="D28" i="7"/>
  <c r="D12" i="7"/>
  <c r="D18" i="7"/>
  <c r="D24" i="7"/>
  <c r="D34" i="7"/>
  <c r="D19" i="7"/>
  <c r="D25" i="7"/>
  <c r="D9" i="7"/>
  <c r="D21" i="7"/>
  <c r="D30" i="7"/>
  <c r="D14" i="7"/>
  <c r="D20" i="7"/>
  <c r="D32" i="7"/>
  <c r="D16" i="7"/>
  <c r="D27" i="7"/>
  <c r="D11" i="7"/>
  <c r="D17" i="7"/>
  <c r="D31" i="7"/>
  <c r="D23" i="7"/>
  <c r="C35" i="7"/>
  <c r="D37" i="11"/>
  <c r="E35" i="5"/>
  <c r="H73" i="31" l="1"/>
  <c r="C30" i="34"/>
  <c r="B30" i="34" s="1"/>
  <c r="H41" i="31"/>
  <c r="D56" i="31"/>
  <c r="G56" i="31" s="1"/>
  <c r="D71" i="31"/>
  <c r="D85" i="31" s="1"/>
  <c r="D59" i="31"/>
  <c r="G59" i="31" s="1"/>
  <c r="D70" i="31"/>
  <c r="G70" i="31" s="1"/>
  <c r="D62" i="31"/>
  <c r="G62" i="31" s="1"/>
  <c r="D69" i="31"/>
  <c r="G69" i="31" s="1"/>
  <c r="D51" i="31"/>
  <c r="D86" i="31" s="1"/>
  <c r="D58" i="31"/>
  <c r="G58" i="31" s="1"/>
  <c r="D65" i="31"/>
  <c r="G65" i="31" s="1"/>
  <c r="D50" i="31"/>
  <c r="G50" i="31" s="1"/>
  <c r="D72" i="31"/>
  <c r="D67" i="31"/>
  <c r="G67" i="31" s="1"/>
  <c r="D68" i="31"/>
  <c r="D74" i="31"/>
  <c r="D63" i="31"/>
  <c r="D87" i="31" s="1"/>
  <c r="D66" i="31"/>
  <c r="G66" i="31" s="1"/>
  <c r="D49" i="31"/>
  <c r="D57" i="31"/>
  <c r="G57" i="31" s="1"/>
  <c r="D61" i="31"/>
  <c r="G61" i="31" s="1"/>
  <c r="D60" i="31"/>
  <c r="G60" i="31" s="1"/>
  <c r="D54" i="31"/>
  <c r="G54" i="31" s="1"/>
  <c r="D53" i="31"/>
  <c r="D55" i="31"/>
  <c r="D64" i="31"/>
  <c r="G64" i="31" s="1"/>
  <c r="D52" i="31"/>
  <c r="G52" i="31" s="1"/>
  <c r="I35" i="5"/>
  <c r="H57" i="31" l="1"/>
  <c r="C14" i="34"/>
  <c r="B14" i="34" s="1"/>
  <c r="H18" i="31"/>
  <c r="H50" i="31"/>
  <c r="C7" i="34"/>
  <c r="H52" i="31"/>
  <c r="C9" i="34"/>
  <c r="H54" i="31"/>
  <c r="C11" i="34"/>
  <c r="B11" i="34" s="1"/>
  <c r="H33" i="31"/>
  <c r="H65" i="31"/>
  <c r="C22" i="34"/>
  <c r="B22" i="34" s="1"/>
  <c r="H30" i="31"/>
  <c r="H62" i="31"/>
  <c r="C19" i="34"/>
  <c r="B19" i="34" s="1"/>
  <c r="H24" i="31"/>
  <c r="H56" i="31"/>
  <c r="C13" i="34"/>
  <c r="B13" i="34" s="1"/>
  <c r="H32" i="31"/>
  <c r="H64" i="31"/>
  <c r="C21" i="34"/>
  <c r="B21" i="34" s="1"/>
  <c r="H60" i="31"/>
  <c r="C17" i="34"/>
  <c r="B17" i="34" s="1"/>
  <c r="H66" i="31"/>
  <c r="C23" i="34"/>
  <c r="B23" i="34" s="1"/>
  <c r="H67" i="31"/>
  <c r="C24" i="34"/>
  <c r="B24" i="34" s="1"/>
  <c r="H58" i="31"/>
  <c r="C15" i="34"/>
  <c r="B15" i="34" s="1"/>
  <c r="D82" i="31"/>
  <c r="H61" i="31"/>
  <c r="C18" i="34"/>
  <c r="H59" i="31"/>
  <c r="C16" i="34"/>
  <c r="H70" i="31"/>
  <c r="C27" i="34"/>
  <c r="B27" i="34" s="1"/>
  <c r="H69" i="31"/>
  <c r="C26" i="34"/>
  <c r="B26" i="34" s="1"/>
  <c r="G55" i="31"/>
  <c r="D88" i="31"/>
  <c r="G49" i="31"/>
  <c r="D80" i="31"/>
  <c r="D84" i="31"/>
  <c r="G72" i="31"/>
  <c r="D83" i="31"/>
  <c r="G51" i="31"/>
  <c r="H38" i="31"/>
  <c r="G82" i="31"/>
  <c r="H82" i="31" s="1"/>
  <c r="G53" i="31"/>
  <c r="D89" i="31"/>
  <c r="G74" i="31"/>
  <c r="D81" i="31"/>
  <c r="H26" i="31"/>
  <c r="H37" i="31"/>
  <c r="H35" i="31"/>
  <c r="H27" i="31"/>
  <c r="H22" i="31"/>
  <c r="H20" i="31"/>
  <c r="G63" i="31"/>
  <c r="H29" i="31"/>
  <c r="G68" i="31"/>
  <c r="H25" i="31"/>
  <c r="G71" i="31"/>
  <c r="D75" i="31"/>
  <c r="H34" i="31"/>
  <c r="H28" i="31"/>
  <c r="E35" i="7"/>
  <c r="D35" i="7"/>
  <c r="B16" i="34" l="1"/>
  <c r="G89" i="31"/>
  <c r="H89" i="31" s="1"/>
  <c r="H53" i="31"/>
  <c r="C10" i="34"/>
  <c r="G80" i="31"/>
  <c r="H80" i="31" s="1"/>
  <c r="H49" i="31"/>
  <c r="C6" i="34"/>
  <c r="H17" i="31"/>
  <c r="G83" i="31"/>
  <c r="H83" i="31" s="1"/>
  <c r="H72" i="31"/>
  <c r="C29" i="34"/>
  <c r="B29" i="34" s="1"/>
  <c r="B18" i="34"/>
  <c r="H21" i="31"/>
  <c r="H71" i="31"/>
  <c r="C28" i="34"/>
  <c r="G87" i="31"/>
  <c r="H87" i="31" s="1"/>
  <c r="H63" i="31"/>
  <c r="C20" i="34"/>
  <c r="H74" i="31"/>
  <c r="C31" i="34"/>
  <c r="B31" i="34" s="1"/>
  <c r="G88" i="31"/>
  <c r="H88" i="31" s="1"/>
  <c r="H55" i="31"/>
  <c r="C12" i="34"/>
  <c r="B9" i="34"/>
  <c r="B37" i="34" s="1"/>
  <c r="C37" i="34"/>
  <c r="G86" i="31"/>
  <c r="H86" i="31" s="1"/>
  <c r="H51" i="31"/>
  <c r="C8" i="34"/>
  <c r="G84" i="31"/>
  <c r="H84" i="31" s="1"/>
  <c r="H68" i="31"/>
  <c r="C25" i="34"/>
  <c r="B25" i="34" s="1"/>
  <c r="B7" i="34"/>
  <c r="B36" i="34" s="1"/>
  <c r="G85" i="31"/>
  <c r="H85" i="31" s="1"/>
  <c r="H42" i="31"/>
  <c r="G81" i="31"/>
  <c r="H81" i="31" s="1"/>
  <c r="H23" i="31"/>
  <c r="H40" i="31"/>
  <c r="H19" i="31"/>
  <c r="H36" i="31"/>
  <c r="H31" i="31"/>
  <c r="G75" i="31"/>
  <c r="D90" i="31"/>
  <c r="H39" i="31"/>
  <c r="B38" i="34" l="1"/>
  <c r="C39" i="34"/>
  <c r="C38" i="34"/>
  <c r="B8" i="34"/>
  <c r="B41" i="34" s="1"/>
  <c r="C41" i="34"/>
  <c r="H90" i="31"/>
  <c r="C40" i="34"/>
  <c r="B28" i="34"/>
  <c r="B40" i="34" s="1"/>
  <c r="C44" i="34"/>
  <c r="B10" i="34"/>
  <c r="B44" i="34" s="1"/>
  <c r="B39" i="34"/>
  <c r="B20" i="34"/>
  <c r="B42" i="34" s="1"/>
  <c r="C42" i="34"/>
  <c r="C32" i="34"/>
  <c r="B6" i="34"/>
  <c r="C35" i="34"/>
  <c r="C36" i="34"/>
  <c r="H75" i="31"/>
  <c r="C43" i="34"/>
  <c r="B12" i="34"/>
  <c r="B43" i="34" s="1"/>
  <c r="H43" i="31"/>
  <c r="G90" i="31"/>
  <c r="C45" i="34" l="1"/>
  <c r="B32" i="34"/>
  <c r="B35" i="34"/>
  <c r="B45" i="34" s="1"/>
</calcChain>
</file>

<file path=xl/sharedStrings.xml><?xml version="1.0" encoding="utf-8"?>
<sst xmlns="http://schemas.openxmlformats.org/spreadsheetml/2006/main" count="486" uniqueCount="123">
  <si>
    <t>Payments</t>
  </si>
  <si>
    <t>Capped</t>
  </si>
  <si>
    <t>OP</t>
  </si>
  <si>
    <t>Supplemental</t>
  </si>
  <si>
    <t>Hospital</t>
  </si>
  <si>
    <t>Total</t>
  </si>
  <si>
    <t>Hospitals</t>
  </si>
  <si>
    <t>Pool</t>
  </si>
  <si>
    <t xml:space="preserve">BACKUS </t>
  </si>
  <si>
    <t xml:space="preserve">BRIDGEPORT </t>
  </si>
  <si>
    <t xml:space="preserve">BRISTOL </t>
  </si>
  <si>
    <t xml:space="preserve">DANBURY </t>
  </si>
  <si>
    <t xml:space="preserve">DAY KIMBALL </t>
  </si>
  <si>
    <t>GREENWICH</t>
  </si>
  <si>
    <t xml:space="preserve">GRIFFIN </t>
  </si>
  <si>
    <t xml:space="preserve">HARTFORD </t>
  </si>
  <si>
    <t>HOSP. CEN. CT</t>
  </si>
  <si>
    <t xml:space="preserve">HUNGERFORD </t>
  </si>
  <si>
    <t>JOHNSON</t>
  </si>
  <si>
    <t>LAWR &amp; MEM</t>
  </si>
  <si>
    <t>MANCHESTER</t>
  </si>
  <si>
    <t xml:space="preserve">MIDSTATE </t>
  </si>
  <si>
    <t xml:space="preserve">MIDDLESEX </t>
  </si>
  <si>
    <t xml:space="preserve">MILFORD </t>
  </si>
  <si>
    <t xml:space="preserve">NORWALK </t>
  </si>
  <si>
    <t>ROCKVILLE</t>
  </si>
  <si>
    <t>ST FRANCIS</t>
  </si>
  <si>
    <t xml:space="preserve">ST MARYS </t>
  </si>
  <si>
    <t>ST VINCENTS</t>
  </si>
  <si>
    <t xml:space="preserve">SHARON </t>
  </si>
  <si>
    <t xml:space="preserve">STAMFORD </t>
  </si>
  <si>
    <t xml:space="preserve">WATERBURY </t>
  </si>
  <si>
    <t>WINDHAM</t>
  </si>
  <si>
    <t>YALE</t>
  </si>
  <si>
    <t>TOTALS</t>
  </si>
  <si>
    <t>Provider ID</t>
  </si>
  <si>
    <t>Medicaid</t>
  </si>
  <si>
    <t>Inpatient</t>
  </si>
  <si>
    <t>%</t>
  </si>
  <si>
    <t>Payment</t>
  </si>
  <si>
    <t>004041851</t>
  </si>
  <si>
    <t>004041703</t>
  </si>
  <si>
    <t>004041901</t>
  </si>
  <si>
    <t>004041935</t>
  </si>
  <si>
    <t>004041638</t>
  </si>
  <si>
    <t>004041786</t>
  </si>
  <si>
    <t>004041927</t>
  </si>
  <si>
    <t>004041869</t>
  </si>
  <si>
    <t>004041950</t>
  </si>
  <si>
    <t>004041711</t>
  </si>
  <si>
    <t>004041687</t>
  </si>
  <si>
    <t>004041679</t>
  </si>
  <si>
    <t>004041885</t>
  </si>
  <si>
    <t>004041810</t>
  </si>
  <si>
    <t>004041778</t>
  </si>
  <si>
    <t>004041794</t>
  </si>
  <si>
    <t>004041943</t>
  </si>
  <si>
    <t>004041729</t>
  </si>
  <si>
    <t>004221800</t>
  </si>
  <si>
    <t>004041620</t>
  </si>
  <si>
    <t>004041760</t>
  </si>
  <si>
    <t>004041893</t>
  </si>
  <si>
    <t>004041661</t>
  </si>
  <si>
    <t>004041653</t>
  </si>
  <si>
    <t>004041828</t>
  </si>
  <si>
    <t>004041836</t>
  </si>
  <si>
    <t>TOTAL</t>
  </si>
  <si>
    <t>No Cap</t>
  </si>
  <si>
    <t>Cap</t>
  </si>
  <si>
    <t>Revenue</t>
  </si>
  <si>
    <t xml:space="preserve">up to 1st </t>
  </si>
  <si>
    <t>DNBRY / N.MILFRD</t>
  </si>
  <si>
    <t>HOSP.CENTRAL CT</t>
  </si>
  <si>
    <t xml:space="preserve">LAWRNCE &amp; MEM. </t>
  </si>
  <si>
    <t>Outpatient</t>
  </si>
  <si>
    <t>Supp</t>
  </si>
  <si>
    <t>Revenues</t>
  </si>
  <si>
    <t>FFY 2016</t>
  </si>
  <si>
    <t>OHCA</t>
  </si>
  <si>
    <t>Capped %</t>
  </si>
  <si>
    <t>Uncapped</t>
  </si>
  <si>
    <t>IP Small</t>
  </si>
  <si>
    <t>IP Capped</t>
  </si>
  <si>
    <t>IP Uncapped</t>
  </si>
  <si>
    <t>IP Midsized</t>
  </si>
  <si>
    <t>SFY 2019</t>
  </si>
  <si>
    <t xml:space="preserve">Hungerford was acquired by Hartford during SFY 2018 and only qualified for 3 quarters of payments for SFY 2018. </t>
  </si>
  <si>
    <t>Hungerford's annual payment for SFY2018 was calculated at $3,009,036.  This amount should be deducted from the amount available in SFY 2019.</t>
  </si>
  <si>
    <t>The first quarter payment for SFY 2019 was calculated using the full $12.8 million therefore the last three quarters are revised below so that total payments for the year are correct.</t>
  </si>
  <si>
    <t>SFY20</t>
  </si>
  <si>
    <t>IP % of Total</t>
  </si>
  <si>
    <t>SFY 2020</t>
  </si>
  <si>
    <t>Inpatient (IP) Small</t>
  </si>
  <si>
    <t>IP Mid-sized</t>
  </si>
  <si>
    <t>Total Payments</t>
  </si>
  <si>
    <t>SFY19 Legislated</t>
  </si>
  <si>
    <t>Diff. Small Lapse (hgrfd)</t>
  </si>
  <si>
    <t>VALUE BASED PAYMENT</t>
  </si>
  <si>
    <t>Value + Supp</t>
  </si>
  <si>
    <t>SUPPLEMENTAL PMT</t>
  </si>
  <si>
    <t>SFY20 General Inpatient Supplemental Payments using SFY19 Pools/Methods</t>
  </si>
  <si>
    <t>SFY 2020 Small Hospital Pool using SFY19 Pools/Methods</t>
  </si>
  <si>
    <t>SFY 2020 Mid-Sized Hospital Pool using SFY19 Pools/Methods</t>
  </si>
  <si>
    <t>SFY 2020 Outpatient Supplemental Payments using SFY19 Pools/Methods</t>
  </si>
  <si>
    <t>Hartford</t>
  </si>
  <si>
    <t>Yale</t>
  </si>
  <si>
    <t>Prospect</t>
  </si>
  <si>
    <t>Trinity</t>
  </si>
  <si>
    <t>Stamford</t>
  </si>
  <si>
    <t>Bristol</t>
  </si>
  <si>
    <t>Middlesex</t>
  </si>
  <si>
    <t>Griffin</t>
  </si>
  <si>
    <t>SFY20 Budgeted</t>
  </si>
  <si>
    <t>WCHN</t>
  </si>
  <si>
    <t>Day Kimball</t>
  </si>
  <si>
    <t>Affiliations</t>
  </si>
  <si>
    <t>Budgeted</t>
  </si>
  <si>
    <t>Quarterly</t>
  </si>
  <si>
    <t>Public Act 19-117</t>
  </si>
  <si>
    <t>Annual</t>
  </si>
  <si>
    <t>Budgeted figures do not include any quality withholds</t>
  </si>
  <si>
    <t>Milford merged with Bridgeport in June 2019, not eligible for SFY 2020</t>
  </si>
  <si>
    <t>SFY 2020 Supplemental Payments using 2019 Pools at SFY 2020 Budgeted amount of $453.3M (PA 19-117)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</si>
</sst>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0.0000%"/>
    <numFmt numFmtId="168" formatCode="&quot;$&quot;#,##0.00"/>
    <numFmt numFmtId="169" formatCode="0.0%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u/>
      <sz val="10"/>
      <color rgb="FF004488"/>
      <name val="Arial"/>
      <family val="2"/>
    </font>
    <font>
      <u/>
      <sz val="10"/>
      <color rgb="FF0066AA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Arial Unicode MS"/>
      <family val="2"/>
    </font>
    <font>
      <sz val="12"/>
      <color theme="1"/>
      <name val="Arial Unicode MS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9" fillId="0" borderId="0"/>
    <xf numFmtId="0" fontId="17" fillId="0" borderId="0"/>
    <xf numFmtId="0" fontId="19" fillId="0" borderId="0"/>
    <xf numFmtId="0" fontId="21" fillId="0" borderId="0"/>
    <xf numFmtId="9" fontId="19" fillId="0" borderId="0" applyFont="0" applyFill="0" applyBorder="0" applyAlignment="0" applyProtection="0"/>
    <xf numFmtId="0" fontId="19" fillId="0" borderId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4" borderId="0" applyNumberFormat="0" applyBorder="0" applyAlignment="0" applyProtection="0"/>
    <xf numFmtId="0" fontId="1" fillId="30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7" borderId="0" applyNumberFormat="0" applyBorder="0" applyAlignment="0" applyProtection="0"/>
    <xf numFmtId="0" fontId="1" fillId="19" borderId="0" applyNumberFormat="0" applyBorder="0" applyAlignment="0" applyProtection="0"/>
    <xf numFmtId="0" fontId="22" fillId="38" borderId="0" applyNumberFormat="0" applyBorder="0" applyAlignment="0" applyProtection="0"/>
    <xf numFmtId="0" fontId="1" fillId="23" borderId="0" applyNumberFormat="0" applyBorder="0" applyAlignment="0" applyProtection="0"/>
    <xf numFmtId="0" fontId="22" fillId="35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23" fillId="40" borderId="0" applyNumberFormat="0" applyBorder="0" applyAlignment="0" applyProtection="0"/>
    <xf numFmtId="0" fontId="16" fillId="12" borderId="0" applyNumberFormat="0" applyBorder="0" applyAlignment="0" applyProtection="0"/>
    <xf numFmtId="0" fontId="23" fillId="36" borderId="0" applyNumberFormat="0" applyBorder="0" applyAlignment="0" applyProtection="0"/>
    <xf numFmtId="0" fontId="16" fillId="16" borderId="0" applyNumberFormat="0" applyBorder="0" applyAlignment="0" applyProtection="0"/>
    <xf numFmtId="0" fontId="23" fillId="37" borderId="0" applyNumberFormat="0" applyBorder="0" applyAlignment="0" applyProtection="0"/>
    <xf numFmtId="0" fontId="16" fillId="20" borderId="0" applyNumberFormat="0" applyBorder="0" applyAlignment="0" applyProtection="0"/>
    <xf numFmtId="0" fontId="23" fillId="41" borderId="0" applyNumberFormat="0" applyBorder="0" applyAlignment="0" applyProtection="0"/>
    <xf numFmtId="0" fontId="16" fillId="24" borderId="0" applyNumberFormat="0" applyBorder="0" applyAlignment="0" applyProtection="0"/>
    <xf numFmtId="0" fontId="23" fillId="42" borderId="0" applyNumberFormat="0" applyBorder="0" applyAlignment="0" applyProtection="0"/>
    <xf numFmtId="0" fontId="16" fillId="28" borderId="0" applyNumberFormat="0" applyBorder="0" applyAlignment="0" applyProtection="0"/>
    <xf numFmtId="0" fontId="23" fillId="43" borderId="0" applyNumberFormat="0" applyBorder="0" applyAlignment="0" applyProtection="0"/>
    <xf numFmtId="0" fontId="16" fillId="32" borderId="0" applyNumberFormat="0" applyBorder="0" applyAlignment="0" applyProtection="0"/>
    <xf numFmtId="0" fontId="23" fillId="44" borderId="0" applyNumberFormat="0" applyBorder="0" applyAlignment="0" applyProtection="0"/>
    <xf numFmtId="0" fontId="16" fillId="9" borderId="0" applyNumberFormat="0" applyBorder="0" applyAlignment="0" applyProtection="0"/>
    <xf numFmtId="0" fontId="23" fillId="45" borderId="0" applyNumberFormat="0" applyBorder="0" applyAlignment="0" applyProtection="0"/>
    <xf numFmtId="0" fontId="16" fillId="13" borderId="0" applyNumberFormat="0" applyBorder="0" applyAlignment="0" applyProtection="0"/>
    <xf numFmtId="0" fontId="23" fillId="46" borderId="0" applyNumberFormat="0" applyBorder="0" applyAlignment="0" applyProtection="0"/>
    <xf numFmtId="0" fontId="16" fillId="17" borderId="0" applyNumberFormat="0" applyBorder="0" applyAlignment="0" applyProtection="0"/>
    <xf numFmtId="0" fontId="23" fillId="41" borderId="0" applyNumberFormat="0" applyBorder="0" applyAlignment="0" applyProtection="0"/>
    <xf numFmtId="0" fontId="16" fillId="21" borderId="0" applyNumberFormat="0" applyBorder="0" applyAlignment="0" applyProtection="0"/>
    <xf numFmtId="0" fontId="23" fillId="42" borderId="0" applyNumberFormat="0" applyBorder="0" applyAlignment="0" applyProtection="0"/>
    <xf numFmtId="0" fontId="16" fillId="25" borderId="0" applyNumberFormat="0" applyBorder="0" applyAlignment="0" applyProtection="0"/>
    <xf numFmtId="0" fontId="23" fillId="47" borderId="0" applyNumberFormat="0" applyBorder="0" applyAlignment="0" applyProtection="0"/>
    <xf numFmtId="0" fontId="16" fillId="29" borderId="0" applyNumberFormat="0" applyBorder="0" applyAlignment="0" applyProtection="0"/>
    <xf numFmtId="0" fontId="24" fillId="48" borderId="0" applyNumberFormat="0" applyBorder="0" applyAlignment="0" applyProtection="0"/>
    <xf numFmtId="0" fontId="6" fillId="3" borderId="0" applyNumberFormat="0" applyBorder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10" fillId="6" borderId="4" applyNumberFormat="0" applyAlignment="0" applyProtection="0"/>
    <xf numFmtId="0" fontId="26" fillId="50" borderId="17" applyNumberFormat="0" applyAlignment="0" applyProtection="0"/>
    <xf numFmtId="0" fontId="12" fillId="7" borderId="7" applyNumberFormat="0" applyAlignment="0" applyProtection="0"/>
    <xf numFmtId="43" fontId="27" fillId="0" borderId="0" applyFont="0" applyFill="0" applyBorder="0" applyAlignment="0" applyProtection="0"/>
    <xf numFmtId="37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5" fillId="2" borderId="0" applyNumberFormat="0" applyBorder="0" applyAlignment="0" applyProtection="0"/>
    <xf numFmtId="0" fontId="34" fillId="0" borderId="18" applyNumberFormat="0" applyFill="0" applyAlignment="0" applyProtection="0"/>
    <xf numFmtId="0" fontId="2" fillId="0" borderId="1" applyNumberFormat="0" applyFill="0" applyAlignment="0" applyProtection="0"/>
    <xf numFmtId="0" fontId="35" fillId="0" borderId="19" applyNumberFormat="0" applyFill="0" applyAlignment="0" applyProtection="0"/>
    <xf numFmtId="0" fontId="3" fillId="0" borderId="2" applyNumberFormat="0" applyFill="0" applyAlignment="0" applyProtection="0"/>
    <xf numFmtId="0" fontId="36" fillId="0" borderId="20" applyNumberFormat="0" applyFill="0" applyAlignment="0" applyProtection="0"/>
    <xf numFmtId="0" fontId="4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34" borderId="16" applyNumberFormat="0" applyAlignment="0" applyProtection="0"/>
    <xf numFmtId="0" fontId="37" fillId="34" borderId="16" applyNumberFormat="0" applyAlignment="0" applyProtection="0"/>
    <xf numFmtId="0" fontId="37" fillId="34" borderId="16" applyNumberFormat="0" applyAlignment="0" applyProtection="0"/>
    <xf numFmtId="0" fontId="8" fillId="5" borderId="4" applyNumberFormat="0" applyAlignment="0" applyProtection="0"/>
    <xf numFmtId="0" fontId="38" fillId="0" borderId="21" applyNumberFormat="0" applyFill="0" applyAlignment="0" applyProtection="0"/>
    <xf numFmtId="0" fontId="11" fillId="0" borderId="6" applyNumberFormat="0" applyFill="0" applyAlignment="0" applyProtection="0"/>
    <xf numFmtId="0" fontId="39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1" fillId="0" borderId="0"/>
    <xf numFmtId="38" fontId="2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40" fillId="0" borderId="0"/>
    <xf numFmtId="0" fontId="19" fillId="0" borderId="0"/>
    <xf numFmtId="38" fontId="2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53" borderId="22" applyNumberFormat="0" applyFont="0" applyAlignment="0" applyProtection="0"/>
    <xf numFmtId="0" fontId="22" fillId="53" borderId="22" applyNumberFormat="0" applyFont="0" applyAlignment="0" applyProtection="0"/>
    <xf numFmtId="0" fontId="22" fillId="53" borderId="22" applyNumberFormat="0" applyFont="0" applyAlignment="0" applyProtection="0"/>
    <xf numFmtId="0" fontId="1" fillId="8" borderId="8" applyNumberFormat="0" applyFont="0" applyAlignment="0" applyProtection="0"/>
    <xf numFmtId="0" fontId="41" fillId="49" borderId="23" applyNumberFormat="0" applyAlignment="0" applyProtection="0"/>
    <xf numFmtId="0" fontId="41" fillId="49" borderId="23" applyNumberFormat="0" applyAlignment="0" applyProtection="0"/>
    <xf numFmtId="0" fontId="41" fillId="49" borderId="23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2" fillId="0" borderId="0"/>
    <xf numFmtId="5" fontId="19" fillId="0" borderId="11">
      <alignment horizontal="right" vertical="top"/>
    </xf>
    <xf numFmtId="0" fontId="19" fillId="0" borderId="0" applyNumberFormat="0" applyFont="0" applyBorder="0">
      <alignment horizontal="centerContinuous"/>
    </xf>
    <xf numFmtId="0" fontId="43" fillId="0" borderId="0" applyNumberFormat="0" applyFill="0" applyBorder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1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9" fillId="0" borderId="0"/>
    <xf numFmtId="0" fontId="19" fillId="0" borderId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21" fillId="0" borderId="0"/>
    <xf numFmtId="0" fontId="21" fillId="0" borderId="0"/>
    <xf numFmtId="0" fontId="55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9" fontId="58" fillId="0" borderId="0" applyFont="0" applyFill="0" applyBorder="0" applyAlignment="0" applyProtection="0"/>
  </cellStyleXfs>
  <cellXfs count="164">
    <xf numFmtId="0" fontId="0" fillId="0" borderId="0" xfId="0"/>
    <xf numFmtId="164" fontId="0" fillId="0" borderId="10" xfId="1" applyNumberFormat="1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0" xfId="0" applyFont="1" applyAlignment="1">
      <alignment horizontal="center"/>
    </xf>
    <xf numFmtId="0" fontId="19" fillId="0" borderId="15" xfId="4" applyFont="1" applyBorder="1" applyAlignment="1" applyProtection="1">
      <alignment horizontal="center"/>
    </xf>
    <xf numFmtId="6" fontId="20" fillId="0" borderId="12" xfId="163" applyNumberFormat="1" applyFont="1" applyFill="1" applyBorder="1" applyAlignment="1" applyProtection="1">
      <alignment horizontal="center"/>
    </xf>
    <xf numFmtId="0" fontId="0" fillId="0" borderId="1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19" fillId="0" borderId="14" xfId="6" applyFont="1" applyFill="1" applyBorder="1" applyAlignment="1" applyProtection="1">
      <alignment horizontal="left"/>
    </xf>
    <xf numFmtId="0" fontId="20" fillId="0" borderId="13" xfId="163" applyFont="1" applyFill="1" applyBorder="1" applyAlignment="1" applyProtection="1">
      <alignment horizontal="center"/>
    </xf>
    <xf numFmtId="0" fontId="19" fillId="0" borderId="13" xfId="4" applyFont="1" applyBorder="1" applyAlignment="1" applyProtection="1">
      <alignment horizontal="center"/>
    </xf>
    <xf numFmtId="0" fontId="19" fillId="0" borderId="12" xfId="4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164" fontId="0" fillId="0" borderId="0" xfId="0" applyNumberFormat="1"/>
    <xf numFmtId="164" fontId="0" fillId="0" borderId="0" xfId="1" applyNumberFormat="1" applyFont="1"/>
    <xf numFmtId="0" fontId="19" fillId="0" borderId="12" xfId="163" applyFont="1" applyBorder="1" applyAlignment="1" applyProtection="1">
      <alignment horizontal="center"/>
    </xf>
    <xf numFmtId="0" fontId="19" fillId="0" borderId="15" xfId="163" applyFont="1" applyBorder="1" applyAlignment="1" applyProtection="1">
      <alignment horizontal="center"/>
    </xf>
    <xf numFmtId="0" fontId="20" fillId="0" borderId="15" xfId="163" applyFont="1" applyFill="1" applyBorder="1" applyAlignment="1" applyProtection="1">
      <alignment horizontal="center"/>
    </xf>
    <xf numFmtId="10" fontId="19" fillId="0" borderId="14" xfId="216" applyNumberFormat="1" applyFont="1" applyBorder="1" applyAlignment="1" applyProtection="1">
      <alignment horizontal="right" vertical="top"/>
    </xf>
    <xf numFmtId="0" fontId="20" fillId="0" borderId="14" xfId="6" applyFont="1" applyFill="1" applyBorder="1" applyAlignment="1" applyProtection="1">
      <alignment horizontal="left"/>
    </xf>
    <xf numFmtId="0" fontId="18" fillId="0" borderId="0" xfId="3" applyFont="1" applyProtection="1">
      <protection locked="0"/>
    </xf>
    <xf numFmtId="0" fontId="50" fillId="0" borderId="0" xfId="3" applyFont="1" applyProtection="1">
      <protection locked="0"/>
    </xf>
    <xf numFmtId="5" fontId="18" fillId="0" borderId="0" xfId="3" applyNumberFormat="1" applyFont="1" applyProtection="1">
      <protection locked="0"/>
    </xf>
    <xf numFmtId="166" fontId="18" fillId="0" borderId="0" xfId="3" applyNumberFormat="1" applyFont="1" applyProtection="1">
      <protection locked="0"/>
    </xf>
    <xf numFmtId="0" fontId="18" fillId="0" borderId="0" xfId="3" applyFont="1" applyProtection="1"/>
    <xf numFmtId="0" fontId="50" fillId="0" borderId="0" xfId="3" applyFont="1" applyProtection="1"/>
    <xf numFmtId="0" fontId="51" fillId="0" borderId="0" xfId="3" applyFont="1" applyProtection="1"/>
    <xf numFmtId="0" fontId="20" fillId="0" borderId="25" xfId="4" applyFont="1" applyBorder="1" applyProtection="1"/>
    <xf numFmtId="0" fontId="20" fillId="0" borderId="12" xfId="4" applyFont="1" applyBorder="1" applyProtection="1"/>
    <xf numFmtId="0" fontId="19" fillId="0" borderId="12" xfId="4" applyFont="1" applyBorder="1" applyAlignment="1" applyProtection="1">
      <alignment horizontal="center"/>
    </xf>
    <xf numFmtId="0" fontId="19" fillId="0" borderId="26" xfId="4" applyFont="1" applyBorder="1" applyProtection="1"/>
    <xf numFmtId="0" fontId="18" fillId="0" borderId="13" xfId="3" applyFont="1" applyBorder="1" applyProtection="1"/>
    <xf numFmtId="0" fontId="19" fillId="0" borderId="26" xfId="4" applyFont="1" applyBorder="1" applyAlignment="1" applyProtection="1">
      <alignment horizontal="left"/>
    </xf>
    <xf numFmtId="0" fontId="19" fillId="0" borderId="13" xfId="4" applyFont="1" applyBorder="1" applyProtection="1"/>
    <xf numFmtId="5" fontId="19" fillId="0" borderId="13" xfId="4" applyNumberFormat="1" applyFont="1" applyBorder="1" applyAlignment="1" applyProtection="1">
      <alignment horizontal="center" wrapText="1"/>
    </xf>
    <xf numFmtId="0" fontId="19" fillId="0" borderId="26" xfId="4" applyFont="1" applyBorder="1" applyAlignment="1" applyProtection="1">
      <alignment horizontal="center"/>
    </xf>
    <xf numFmtId="0" fontId="52" fillId="0" borderId="14" xfId="3" applyFont="1" applyBorder="1" applyProtection="1"/>
    <xf numFmtId="0" fontId="19" fillId="0" borderId="12" xfId="6" applyFont="1" applyFill="1" applyBorder="1" applyAlignment="1" applyProtection="1">
      <alignment horizontal="left"/>
    </xf>
    <xf numFmtId="0" fontId="19" fillId="0" borderId="12" xfId="6" quotePrefix="1" applyFont="1" applyFill="1" applyBorder="1" applyAlignment="1" applyProtection="1">
      <alignment horizontal="left"/>
    </xf>
    <xf numFmtId="165" fontId="18" fillId="0" borderId="0" xfId="3" applyNumberFormat="1" applyFont="1" applyProtection="1"/>
    <xf numFmtId="0" fontId="19" fillId="0" borderId="13" xfId="6" applyFont="1" applyFill="1" applyBorder="1" applyAlignment="1" applyProtection="1">
      <alignment horizontal="left"/>
    </xf>
    <xf numFmtId="0" fontId="19" fillId="0" borderId="13" xfId="6" quotePrefix="1" applyFont="1" applyFill="1" applyBorder="1" applyAlignment="1" applyProtection="1">
      <alignment horizontal="left"/>
    </xf>
    <xf numFmtId="0" fontId="52" fillId="0" borderId="27" xfId="3" applyFont="1" applyFill="1" applyBorder="1" applyProtection="1"/>
    <xf numFmtId="0" fontId="19" fillId="0" borderId="13" xfId="9" applyFont="1" applyFill="1" applyBorder="1" applyProtection="1"/>
    <xf numFmtId="0" fontId="19" fillId="0" borderId="13" xfId="9" quotePrefix="1" applyFont="1" applyFill="1" applyBorder="1" applyProtection="1"/>
    <xf numFmtId="0" fontId="19" fillId="0" borderId="15" xfId="9" applyFont="1" applyFill="1" applyBorder="1" applyProtection="1"/>
    <xf numFmtId="0" fontId="19" fillId="0" borderId="15" xfId="9" quotePrefix="1" applyFont="1" applyFill="1" applyBorder="1" applyProtection="1"/>
    <xf numFmtId="0" fontId="20" fillId="0" borderId="27" xfId="6" applyFont="1" applyFill="1" applyBorder="1" applyAlignment="1" applyProtection="1">
      <alignment horizontal="left"/>
    </xf>
    <xf numFmtId="0" fontId="20" fillId="0" borderId="15" xfId="6" applyFont="1" applyFill="1" applyBorder="1" applyAlignment="1" applyProtection="1">
      <alignment horizontal="left"/>
    </xf>
    <xf numFmtId="5" fontId="20" fillId="0" borderId="0" xfId="7" applyNumberFormat="1" applyFont="1" applyFill="1" applyBorder="1" applyAlignment="1" applyProtection="1">
      <alignment horizontal="right" vertical="top"/>
    </xf>
    <xf numFmtId="168" fontId="50" fillId="0" borderId="0" xfId="3" applyNumberFormat="1" applyFont="1" applyProtection="1"/>
    <xf numFmtId="38" fontId="18" fillId="0" borderId="0" xfId="3" applyNumberFormat="1" applyFont="1" applyProtection="1"/>
    <xf numFmtId="5" fontId="19" fillId="0" borderId="12" xfId="7" applyNumberFormat="1" applyFont="1" applyFill="1" applyBorder="1" applyAlignment="1" applyProtection="1">
      <alignment horizontal="right"/>
    </xf>
    <xf numFmtId="167" fontId="19" fillId="0" borderId="12" xfId="8" applyNumberFormat="1" applyFont="1" applyBorder="1" applyAlignment="1" applyProtection="1">
      <alignment horizontal="right"/>
    </xf>
    <xf numFmtId="5" fontId="19" fillId="0" borderId="12" xfId="7" applyNumberFormat="1" applyFont="1" applyBorder="1" applyAlignment="1" applyProtection="1">
      <alignment horizontal="right"/>
    </xf>
    <xf numFmtId="0" fontId="18" fillId="0" borderId="0" xfId="3" applyFont="1" applyAlignment="1" applyProtection="1"/>
    <xf numFmtId="5" fontId="19" fillId="0" borderId="13" xfId="7" applyNumberFormat="1" applyFont="1" applyFill="1" applyBorder="1" applyAlignment="1" applyProtection="1">
      <alignment horizontal="right"/>
    </xf>
    <xf numFmtId="167" fontId="19" fillId="0" borderId="13" xfId="8" applyNumberFormat="1" applyFont="1" applyBorder="1" applyAlignment="1" applyProtection="1">
      <alignment horizontal="right"/>
    </xf>
    <xf numFmtId="5" fontId="19" fillId="0" borderId="15" xfId="7" applyNumberFormat="1" applyFont="1" applyFill="1" applyBorder="1" applyAlignment="1" applyProtection="1">
      <alignment horizontal="right"/>
    </xf>
    <xf numFmtId="167" fontId="19" fillId="0" borderId="15" xfId="8" applyNumberFormat="1" applyFont="1" applyBorder="1" applyAlignment="1" applyProtection="1">
      <alignment horizontal="right"/>
    </xf>
    <xf numFmtId="165" fontId="19" fillId="0" borderId="15" xfId="7" applyNumberFormat="1" applyFont="1" applyBorder="1" applyAlignment="1" applyProtection="1">
      <alignment horizontal="right"/>
    </xf>
    <xf numFmtId="167" fontId="19" fillId="0" borderId="15" xfId="2" applyNumberFormat="1" applyFont="1" applyFill="1" applyBorder="1" applyAlignment="1" applyProtection="1">
      <alignment horizontal="right"/>
    </xf>
    <xf numFmtId="5" fontId="20" fillId="0" borderId="15" xfId="7" applyNumberFormat="1" applyFont="1" applyFill="1" applyBorder="1" applyAlignment="1" applyProtection="1">
      <alignment horizontal="right"/>
    </xf>
    <xf numFmtId="5" fontId="20" fillId="0" borderId="14" xfId="7" applyNumberFormat="1" applyFont="1" applyFill="1" applyBorder="1" applyAlignment="1" applyProtection="1">
      <alignment horizontal="right"/>
    </xf>
    <xf numFmtId="5" fontId="20" fillId="0" borderId="0" xfId="7" applyNumberFormat="1" applyFont="1" applyFill="1" applyBorder="1" applyAlignment="1" applyProtection="1">
      <alignment horizontal="right"/>
    </xf>
    <xf numFmtId="0" fontId="15" fillId="0" borderId="0" xfId="0" applyFont="1" applyAlignment="1">
      <alignment horizontal="center"/>
    </xf>
    <xf numFmtId="6" fontId="0" fillId="0" borderId="10" xfId="0" applyNumberFormat="1" applyBorder="1"/>
    <xf numFmtId="6" fontId="0" fillId="0" borderId="0" xfId="0" applyNumberFormat="1"/>
    <xf numFmtId="10" fontId="0" fillId="0" borderId="0" xfId="2" applyNumberFormat="1" applyFont="1"/>
    <xf numFmtId="6" fontId="0" fillId="0" borderId="0" xfId="0" applyNumberFormat="1" applyFont="1"/>
    <xf numFmtId="10" fontId="0" fillId="0" borderId="10" xfId="2" applyNumberFormat="1" applyFont="1" applyBorder="1"/>
    <xf numFmtId="10" fontId="0" fillId="0" borderId="0" xfId="0" applyNumberFormat="1"/>
    <xf numFmtId="6" fontId="15" fillId="0" borderId="0" xfId="0" applyNumberFormat="1" applyFont="1"/>
    <xf numFmtId="0" fontId="0" fillId="0" borderId="0" xfId="0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Alignment="1">
      <alignment horizontal="center"/>
    </xf>
    <xf numFmtId="164" fontId="0" fillId="0" borderId="10" xfId="0" applyNumberFormat="1" applyBorder="1"/>
    <xf numFmtId="5" fontId="19" fillId="0" borderId="14" xfId="7" applyNumberFormat="1" applyFont="1" applyFill="1" applyBorder="1" applyAlignment="1" applyProtection="1">
      <alignment horizontal="right"/>
    </xf>
    <xf numFmtId="10" fontId="19" fillId="0" borderId="14" xfId="216" applyNumberFormat="1" applyFont="1" applyBorder="1" applyAlignment="1" applyProtection="1">
      <alignment horizontal="right"/>
    </xf>
    <xf numFmtId="165" fontId="19" fillId="0" borderId="14" xfId="216" applyNumberFormat="1" applyFont="1" applyFill="1" applyBorder="1" applyAlignment="1" applyProtection="1">
      <alignment horizontal="right"/>
    </xf>
    <xf numFmtId="0" fontId="0" fillId="0" borderId="0" xfId="0" applyAlignment="1"/>
    <xf numFmtId="10" fontId="20" fillId="0" borderId="14" xfId="216" applyNumberFormat="1" applyFont="1" applyBorder="1" applyAlignment="1" applyProtection="1">
      <alignment horizontal="right"/>
    </xf>
    <xf numFmtId="164" fontId="15" fillId="0" borderId="0" xfId="0" applyNumberFormat="1" applyFont="1" applyFill="1"/>
    <xf numFmtId="5" fontId="20" fillId="0" borderId="15" xfId="4" applyNumberFormat="1" applyFont="1" applyFill="1" applyBorder="1" applyAlignment="1" applyProtection="1">
      <alignment horizontal="center" wrapText="1"/>
    </xf>
    <xf numFmtId="5" fontId="19" fillId="0" borderId="14" xfId="7" applyNumberFormat="1" applyFont="1" applyBorder="1" applyAlignment="1" applyProtection="1">
      <alignment horizontal="right"/>
    </xf>
    <xf numFmtId="0" fontId="51" fillId="0" borderId="0" xfId="3" applyFont="1" applyAlignment="1" applyProtection="1">
      <alignment horizontal="center"/>
    </xf>
    <xf numFmtId="167" fontId="20" fillId="0" borderId="15" xfId="7" applyNumberFormat="1" applyFont="1" applyFill="1" applyBorder="1" applyAlignment="1" applyProtection="1">
      <alignment horizontal="right"/>
    </xf>
    <xf numFmtId="5" fontId="19" fillId="0" borderId="25" xfId="7" applyNumberFormat="1" applyFont="1" applyBorder="1" applyAlignment="1" applyProtection="1">
      <alignment horizontal="right"/>
    </xf>
    <xf numFmtId="5" fontId="19" fillId="0" borderId="26" xfId="7" applyNumberFormat="1" applyFont="1" applyBorder="1" applyAlignment="1" applyProtection="1">
      <alignment horizontal="right"/>
    </xf>
    <xf numFmtId="5" fontId="19" fillId="0" borderId="28" xfId="7" applyNumberFormat="1" applyFont="1" applyBorder="1" applyAlignment="1" applyProtection="1">
      <alignment horizontal="right"/>
    </xf>
    <xf numFmtId="167" fontId="19" fillId="0" borderId="25" xfId="8" applyNumberFormat="1" applyFont="1" applyBorder="1" applyAlignment="1" applyProtection="1">
      <alignment horizontal="right"/>
    </xf>
    <xf numFmtId="167" fontId="19" fillId="0" borderId="26" xfId="8" applyNumberFormat="1" applyFont="1" applyBorder="1" applyAlignment="1" applyProtection="1">
      <alignment horizontal="right"/>
    </xf>
    <xf numFmtId="167" fontId="19" fillId="0" borderId="28" xfId="8" applyNumberFormat="1" applyFont="1" applyBorder="1" applyAlignment="1" applyProtection="1">
      <alignment horizontal="right"/>
    </xf>
    <xf numFmtId="164" fontId="0" fillId="0" borderId="0" xfId="1" applyNumberFormat="1" applyFont="1" applyBorder="1"/>
    <xf numFmtId="0" fontId="19" fillId="0" borderId="12" xfId="4" applyFont="1" applyBorder="1" applyAlignment="1" applyProtection="1">
      <alignment horizontal="left"/>
    </xf>
    <xf numFmtId="0" fontId="19" fillId="0" borderId="12" xfId="4" applyFont="1" applyBorder="1" applyProtection="1"/>
    <xf numFmtId="0" fontId="19" fillId="0" borderId="13" xfId="4" applyFont="1" applyBorder="1" applyAlignment="1" applyProtection="1">
      <alignment horizontal="left"/>
    </xf>
    <xf numFmtId="0" fontId="19" fillId="0" borderId="15" xfId="4" applyFont="1" applyBorder="1" applyAlignment="1" applyProtection="1">
      <alignment horizontal="left"/>
    </xf>
    <xf numFmtId="0" fontId="19" fillId="0" borderId="15" xfId="4" applyFont="1" applyBorder="1" applyProtection="1"/>
    <xf numFmtId="6" fontId="15" fillId="54" borderId="10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15" fillId="0" borderId="0" xfId="1" applyNumberFormat="1" applyFont="1" applyBorder="1"/>
    <xf numFmtId="0" fontId="0" fillId="0" borderId="0" xfId="0" applyFont="1" applyBorder="1" applyAlignment="1">
      <alignment horizontal="center"/>
    </xf>
    <xf numFmtId="0" fontId="46" fillId="0" borderId="0" xfId="0" applyFont="1"/>
    <xf numFmtId="0" fontId="19" fillId="0" borderId="25" xfId="4" applyFont="1" applyBorder="1" applyAlignment="1" applyProtection="1">
      <alignment horizontal="center"/>
    </xf>
    <xf numFmtId="5" fontId="19" fillId="0" borderId="26" xfId="4" applyNumberFormat="1" applyFont="1" applyBorder="1" applyAlignment="1" applyProtection="1">
      <alignment horizontal="center" wrapText="1"/>
    </xf>
    <xf numFmtId="165" fontId="19" fillId="0" borderId="12" xfId="7" applyNumberFormat="1" applyFont="1" applyBorder="1" applyAlignment="1" applyProtection="1">
      <alignment horizontal="right"/>
    </xf>
    <xf numFmtId="165" fontId="19" fillId="0" borderId="13" xfId="7" applyNumberFormat="1" applyFont="1" applyBorder="1" applyAlignment="1" applyProtection="1">
      <alignment horizontal="right"/>
    </xf>
    <xf numFmtId="5" fontId="20" fillId="0" borderId="13" xfId="4" applyNumberFormat="1" applyFont="1" applyFill="1" applyBorder="1" applyAlignment="1" applyProtection="1">
      <alignment horizontal="center" wrapText="1"/>
    </xf>
    <xf numFmtId="0" fontId="19" fillId="0" borderId="25" xfId="4" applyFont="1" applyFill="1" applyBorder="1" applyAlignment="1" applyProtection="1">
      <alignment horizontal="center"/>
    </xf>
    <xf numFmtId="0" fontId="19" fillId="0" borderId="28" xfId="163" applyFont="1" applyBorder="1" applyAlignment="1" applyProtection="1">
      <alignment horizontal="center"/>
    </xf>
    <xf numFmtId="6" fontId="20" fillId="0" borderId="13" xfId="163" applyNumberFormat="1" applyFont="1" applyFill="1" applyBorder="1" applyAlignment="1" applyProtection="1">
      <alignment horizontal="center"/>
    </xf>
    <xf numFmtId="0" fontId="0" fillId="0" borderId="0" xfId="0" applyAlignment="1">
      <alignment horizontal="right"/>
    </xf>
    <xf numFmtId="0" fontId="18" fillId="0" borderId="13" xfId="0" applyFont="1" applyBorder="1" applyAlignment="1">
      <alignment horizontal="center"/>
    </xf>
    <xf numFmtId="5" fontId="20" fillId="0" borderId="10" xfId="163" applyNumberFormat="1" applyFont="1" applyFill="1" applyBorder="1" applyAlignment="1" applyProtection="1">
      <alignment horizontal="center"/>
    </xf>
    <xf numFmtId="165" fontId="0" fillId="0" borderId="0" xfId="0" applyNumberFormat="1" applyAlignment="1"/>
    <xf numFmtId="165" fontId="20" fillId="0" borderId="14" xfId="7" applyNumberFormat="1" applyFont="1" applyFill="1" applyBorder="1" applyAlignment="1" applyProtection="1">
      <alignment horizontal="right"/>
    </xf>
    <xf numFmtId="0" fontId="18" fillId="0" borderId="0" xfId="0" applyFont="1" applyAlignment="1">
      <alignment horizontal="right"/>
    </xf>
    <xf numFmtId="164" fontId="0" fillId="0" borderId="0" xfId="0" applyNumberFormat="1" applyBorder="1"/>
    <xf numFmtId="164" fontId="0" fillId="0" borderId="0" xfId="0" applyNumberFormat="1" applyFont="1" applyBorder="1"/>
    <xf numFmtId="164" fontId="1" fillId="0" borderId="0" xfId="1" applyNumberFormat="1" applyFont="1" applyBorder="1" applyAlignment="1">
      <alignment horizontal="right"/>
    </xf>
    <xf numFmtId="0" fontId="56" fillId="0" borderId="0" xfId="0" applyFont="1" applyBorder="1" applyAlignment="1">
      <alignment horizontal="center"/>
    </xf>
    <xf numFmtId="6" fontId="0" fillId="0" borderId="10" xfId="0" applyNumberFormat="1" applyFont="1" applyBorder="1"/>
    <xf numFmtId="164" fontId="15" fillId="0" borderId="0" xfId="1" applyNumberFormat="1" applyFont="1"/>
    <xf numFmtId="164" fontId="0" fillId="0" borderId="0" xfId="0" applyNumberFormat="1" applyFont="1" applyFill="1"/>
    <xf numFmtId="164" fontId="15" fillId="0" borderId="0" xfId="0" applyNumberFormat="1" applyFont="1" applyFill="1" applyAlignment="1">
      <alignment horizontal="center"/>
    </xf>
    <xf numFmtId="10" fontId="0" fillId="0" borderId="0" xfId="2" applyNumberFormat="1" applyFont="1" applyFill="1"/>
    <xf numFmtId="0" fontId="15" fillId="0" borderId="10" xfId="0" applyFont="1" applyBorder="1"/>
    <xf numFmtId="10" fontId="0" fillId="0" borderId="10" xfId="2" applyNumberFormat="1" applyFont="1" applyFill="1" applyBorder="1"/>
    <xf numFmtId="164" fontId="0" fillId="0" borderId="10" xfId="0" applyNumberFormat="1" applyFont="1" applyFill="1" applyBorder="1"/>
    <xf numFmtId="0" fontId="0" fillId="0" borderId="0" xfId="0" applyFont="1"/>
    <xf numFmtId="164" fontId="0" fillId="0" borderId="0" xfId="0" applyNumberFormat="1" applyFont="1"/>
    <xf numFmtId="10" fontId="1" fillId="0" borderId="0" xfId="2" applyNumberFormat="1" applyFont="1" applyFill="1"/>
    <xf numFmtId="0" fontId="0" fillId="0" borderId="10" xfId="0" applyFont="1" applyBorder="1"/>
    <xf numFmtId="0" fontId="15" fillId="0" borderId="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164" fontId="0" fillId="0" borderId="29" xfId="0" applyNumberFormat="1" applyBorder="1"/>
    <xf numFmtId="164" fontId="0" fillId="0" borderId="29" xfId="1" applyNumberFormat="1" applyFont="1" applyBorder="1"/>
    <xf numFmtId="0" fontId="0" fillId="0" borderId="0" xfId="0" applyAlignment="1">
      <alignment horizontal="center"/>
    </xf>
    <xf numFmtId="0" fontId="15" fillId="0" borderId="29" xfId="0" applyFont="1" applyBorder="1"/>
    <xf numFmtId="164" fontId="15" fillId="0" borderId="29" xfId="1" applyNumberFormat="1" applyFont="1" applyBorder="1"/>
    <xf numFmtId="0" fontId="15" fillId="0" borderId="0" xfId="0" applyFont="1" applyBorder="1"/>
    <xf numFmtId="0" fontId="0" fillId="0" borderId="1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164" fontId="15" fillId="0" borderId="0" xfId="0" applyNumberFormat="1" applyFont="1" applyBorder="1"/>
    <xf numFmtId="0" fontId="46" fillId="0" borderId="0" xfId="0" applyFont="1" applyBorder="1"/>
    <xf numFmtId="0" fontId="15" fillId="0" borderId="0" xfId="0" applyFont="1" applyBorder="1" applyAlignment="1">
      <alignment horizontal="center"/>
    </xf>
    <xf numFmtId="169" fontId="0" fillId="0" borderId="0" xfId="2" applyNumberFormat="1" applyFont="1" applyBorder="1"/>
    <xf numFmtId="169" fontId="15" fillId="0" borderId="0" xfId="0" applyNumberFormat="1" applyFont="1" applyBorder="1"/>
    <xf numFmtId="0" fontId="46" fillId="0" borderId="0" xfId="0" applyFont="1" applyFill="1"/>
    <xf numFmtId="0" fontId="57" fillId="0" borderId="0" xfId="0" applyFont="1" applyFill="1" applyAlignment="1">
      <alignment horizontal="center"/>
    </xf>
    <xf numFmtId="164" fontId="15" fillId="0" borderId="10" xfId="1" applyNumberFormat="1" applyFont="1" applyBorder="1"/>
    <xf numFmtId="0" fontId="15" fillId="0" borderId="0" xfId="0" applyFont="1" applyFill="1"/>
    <xf numFmtId="5" fontId="20" fillId="0" borderId="26" xfId="4" applyNumberFormat="1" applyFont="1" applyFill="1" applyBorder="1" applyAlignment="1" applyProtection="1">
      <alignment horizontal="center" wrapText="1"/>
    </xf>
    <xf numFmtId="6" fontId="15" fillId="0" borderId="10" xfId="0" applyNumberFormat="1" applyFont="1" applyFill="1" applyBorder="1"/>
    <xf numFmtId="5" fontId="19" fillId="0" borderId="0" xfId="7" applyNumberFormat="1" applyFont="1" applyFill="1" applyBorder="1" applyAlignment="1" applyProtection="1">
      <alignment horizontal="right"/>
    </xf>
    <xf numFmtId="0" fontId="46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</cellXfs>
  <cellStyles count="272">
    <cellStyle name="£Z_x0004_Ç_x0006_^_x0004_" xfId="249"/>
    <cellStyle name="20% - Accent1 2" xfId="10"/>
    <cellStyle name="20% - Accent1 3" xfId="11"/>
    <cellStyle name="20% - Accent2 2" xfId="12"/>
    <cellStyle name="20% - Accent2 2 2" xfId="13"/>
    <cellStyle name="20% - Accent2 3" xfId="14"/>
    <cellStyle name="20% - Accent2 4" xfId="15"/>
    <cellStyle name="20% - Accent3 2" xfId="16"/>
    <cellStyle name="20% - Accent3 2 2" xfId="17"/>
    <cellStyle name="20% - Accent3 3" xfId="18"/>
    <cellStyle name="20% - Accent3 4" xfId="19"/>
    <cellStyle name="20% - Accent4 2" xfId="20"/>
    <cellStyle name="20% - Accent4 2 2" xfId="21"/>
    <cellStyle name="20% - Accent4 3" xfId="22"/>
    <cellStyle name="20% - Accent4 4" xfId="23"/>
    <cellStyle name="20% - Accent5 2" xfId="24"/>
    <cellStyle name="20% - Accent5 2 2" xfId="25"/>
    <cellStyle name="20% - Accent5 3" xfId="26"/>
    <cellStyle name="20% - Accent5 4" xfId="27"/>
    <cellStyle name="20% - Accent6 2" xfId="28"/>
    <cellStyle name="20% - Accent6 3" xfId="29"/>
    <cellStyle name="40% - Accent1 2" xfId="30"/>
    <cellStyle name="40% - Accent1 3" xfId="31"/>
    <cellStyle name="40% - Accent2 2" xfId="32"/>
    <cellStyle name="40% - Accent2 3" xfId="33"/>
    <cellStyle name="40% - Accent3 2" xfId="34"/>
    <cellStyle name="40% - Accent3 3" xfId="35"/>
    <cellStyle name="40% - Accent4 2" xfId="36"/>
    <cellStyle name="40% - Accent4 3" xfId="37"/>
    <cellStyle name="40% - Accent5 2" xfId="38"/>
    <cellStyle name="40% - Accent5 3" xfId="39"/>
    <cellStyle name="40% - Accent6 2" xfId="40"/>
    <cellStyle name="40% - Accent6 3" xfId="41"/>
    <cellStyle name="60% - Accent1 2" xfId="42"/>
    <cellStyle name="60% - Accent1 3" xfId="43"/>
    <cellStyle name="60% - Accent2 2" xfId="44"/>
    <cellStyle name="60% - Accent2 3" xfId="45"/>
    <cellStyle name="60% - Accent3 2" xfId="46"/>
    <cellStyle name="60% - Accent3 3" xfId="47"/>
    <cellStyle name="60% - Accent4 2" xfId="48"/>
    <cellStyle name="60% - Accent4 3" xfId="49"/>
    <cellStyle name="60% - Accent5 2" xfId="50"/>
    <cellStyle name="60% - Accent5 3" xfId="51"/>
    <cellStyle name="60% - Accent6 2" xfId="52"/>
    <cellStyle name="60% - Accent6 3" xfId="53"/>
    <cellStyle name="Accent1 2" xfId="54"/>
    <cellStyle name="Accent1 3" xfId="55"/>
    <cellStyle name="Accent2 2" xfId="56"/>
    <cellStyle name="Accent2 3" xfId="57"/>
    <cellStyle name="Accent3 2" xfId="58"/>
    <cellStyle name="Accent3 3" xfId="59"/>
    <cellStyle name="Accent4 2" xfId="60"/>
    <cellStyle name="Accent4 3" xfId="61"/>
    <cellStyle name="Accent5 2" xfId="62"/>
    <cellStyle name="Accent5 3" xfId="63"/>
    <cellStyle name="Accent6 2" xfId="64"/>
    <cellStyle name="Accent6 3" xfId="65"/>
    <cellStyle name="Bad 2" xfId="66"/>
    <cellStyle name="Bad 3" xfId="67"/>
    <cellStyle name="Calculation 2" xfId="68"/>
    <cellStyle name="Calculation 2 2" xfId="69"/>
    <cellStyle name="Calculation 2 3" xfId="70"/>
    <cellStyle name="Calculation 3" xfId="71"/>
    <cellStyle name="Check Cell 2" xfId="72"/>
    <cellStyle name="Check Cell 3" xfId="73"/>
    <cellStyle name="Comma" xfId="1" builtinId="3"/>
    <cellStyle name="Comma 10" xfId="74"/>
    <cellStyle name="Comma 11" xfId="75"/>
    <cellStyle name="Comma 12" xfId="76"/>
    <cellStyle name="Comma 13" xfId="269"/>
    <cellStyle name="Comma 2" xfId="77"/>
    <cellStyle name="Comma 2 2" xfId="78"/>
    <cellStyle name="Comma 2 2 2" xfId="79"/>
    <cellStyle name="Comma 2 3" xfId="80"/>
    <cellStyle name="Comma 2 3 2" xfId="81"/>
    <cellStyle name="Comma 2 4" xfId="82"/>
    <cellStyle name="Comma 2 5" xfId="83"/>
    <cellStyle name="Comma 2 6" xfId="250"/>
    <cellStyle name="Comma 2 7" xfId="256"/>
    <cellStyle name="Comma 2 8" xfId="260"/>
    <cellStyle name="Comma 2 9" xfId="261"/>
    <cellStyle name="Comma 2 9 2" xfId="262"/>
    <cellStyle name="Comma 3" xfId="84"/>
    <cellStyle name="Comma 3 2" xfId="85"/>
    <cellStyle name="Comma 3 2 2" xfId="86"/>
    <cellStyle name="Comma 3 3" xfId="87"/>
    <cellStyle name="Comma 3 4" xfId="88"/>
    <cellStyle name="Comma 4" xfId="89"/>
    <cellStyle name="Comma 4 2" xfId="90"/>
    <cellStyle name="Comma 4 2 2" xfId="91"/>
    <cellStyle name="Comma 4 3" xfId="92"/>
    <cellStyle name="Comma 4 4" xfId="93"/>
    <cellStyle name="Comma 5" xfId="94"/>
    <cellStyle name="Comma 5 2" xfId="95"/>
    <cellStyle name="Comma 5 2 2" xfId="96"/>
    <cellStyle name="Comma 5 3" xfId="258"/>
    <cellStyle name="Comma 6" xfId="97"/>
    <cellStyle name="Comma 6 2" xfId="98"/>
    <cellStyle name="Comma 7" xfId="99"/>
    <cellStyle name="Comma 7 2" xfId="100"/>
    <cellStyle name="Comma 7 3" xfId="101"/>
    <cellStyle name="Comma 7 3 2" xfId="102"/>
    <cellStyle name="Comma 8" xfId="103"/>
    <cellStyle name="Comma 8 2" xfId="104"/>
    <cellStyle name="Comma 9" xfId="105"/>
    <cellStyle name="Comma 9 2" xfId="106"/>
    <cellStyle name="Currency 10" xfId="107"/>
    <cellStyle name="Currency 11" xfId="108"/>
    <cellStyle name="Currency 2" xfId="109"/>
    <cellStyle name="Currency 2 2" xfId="110"/>
    <cellStyle name="Currency 2 2 2" xfId="111"/>
    <cellStyle name="Currency 2 3" xfId="112"/>
    <cellStyle name="Currency 2 3 2" xfId="113"/>
    <cellStyle name="Currency 2 4" xfId="114"/>
    <cellStyle name="Currency 2 5" xfId="115"/>
    <cellStyle name="Currency 3" xfId="116"/>
    <cellStyle name="Currency 3 2" xfId="117"/>
    <cellStyle name="Currency 3 3" xfId="118"/>
    <cellStyle name="Currency 4" xfId="119"/>
    <cellStyle name="Currency 4 2" xfId="120"/>
    <cellStyle name="Currency 4 3" xfId="121"/>
    <cellStyle name="Currency 5" xfId="122"/>
    <cellStyle name="Currency 5 2" xfId="123"/>
    <cellStyle name="Currency 6" xfId="124"/>
    <cellStyle name="Currency 6 2" xfId="125"/>
    <cellStyle name="Currency 7" xfId="126"/>
    <cellStyle name="Currency 7 2" xfId="127"/>
    <cellStyle name="Currency 7 3" xfId="128"/>
    <cellStyle name="Currency 8" xfId="129"/>
    <cellStyle name="Currency 8 2" xfId="130"/>
    <cellStyle name="Currency 9" xfId="131"/>
    <cellStyle name="Explanatory Text 2" xfId="132"/>
    <cellStyle name="Explanatory Text 3" xfId="133"/>
    <cellStyle name="Followed Hyperlink 2" xfId="251"/>
    <cellStyle name="Good 2" xfId="134"/>
    <cellStyle name="Good 3" xfId="135"/>
    <cellStyle name="Heading 1 2" xfId="136"/>
    <cellStyle name="Heading 1 3" xfId="137"/>
    <cellStyle name="Heading 2 2" xfId="138"/>
    <cellStyle name="Heading 2 3" xfId="139"/>
    <cellStyle name="Heading 3 2" xfId="140"/>
    <cellStyle name="Heading 3 3" xfId="141"/>
    <cellStyle name="Heading 4 2" xfId="142"/>
    <cellStyle name="Heading 4 3" xfId="143"/>
    <cellStyle name="Hyperlink 2" xfId="252"/>
    <cellStyle name="Input 2" xfId="144"/>
    <cellStyle name="Input 2 2" xfId="145"/>
    <cellStyle name="Input 2 3" xfId="146"/>
    <cellStyle name="Input 3" xfId="147"/>
    <cellStyle name="Linked Cell 2" xfId="148"/>
    <cellStyle name="Linked Cell 3" xfId="149"/>
    <cellStyle name="Neutral 2" xfId="150"/>
    <cellStyle name="Neutral 3" xfId="151"/>
    <cellStyle name="Normal" xfId="0" builtinId="0"/>
    <cellStyle name="Normal 10" xfId="152"/>
    <cellStyle name="Normal 10 10" xfId="153"/>
    <cellStyle name="Normal 10 2" xfId="154"/>
    <cellStyle name="Normal 10 3" xfId="155"/>
    <cellStyle name="Normal 11" xfId="3"/>
    <cellStyle name="Normal 12" xfId="156"/>
    <cellStyle name="Normal 13" xfId="157"/>
    <cellStyle name="Normal 14" xfId="158"/>
    <cellStyle name="Normal 14 2" xfId="159"/>
    <cellStyle name="Normal 15" xfId="160"/>
    <cellStyle name="Normal 16" xfId="161"/>
    <cellStyle name="Normal 17" xfId="255"/>
    <cellStyle name="Normal 18" xfId="270"/>
    <cellStyle name="Normal 2" xfId="4"/>
    <cellStyle name="Normal 2 2" xfId="162"/>
    <cellStyle name="Normal 2 2 2" xfId="163"/>
    <cellStyle name="Normal 2 2 2 2" xfId="164"/>
    <cellStyle name="Normal 2 2 3" xfId="165"/>
    <cellStyle name="Normal 2 3" xfId="166"/>
    <cellStyle name="Normal 2 3 2" xfId="167"/>
    <cellStyle name="Normal 2 4" xfId="168"/>
    <cellStyle name="Normal 2 5" xfId="169"/>
    <cellStyle name="Normal 2 6" xfId="263"/>
    <cellStyle name="Normal 2 7" xfId="264"/>
    <cellStyle name="Normal 2 7 2" xfId="265"/>
    <cellStyle name="Normal 3" xfId="170"/>
    <cellStyle name="Normal 3 2" xfId="171"/>
    <cellStyle name="Normal 3 2 2" xfId="253"/>
    <cellStyle name="Normal 3 3" xfId="172"/>
    <cellStyle name="Normal 3 3 2" xfId="173"/>
    <cellStyle name="Normal 3 4" xfId="174"/>
    <cellStyle name="Normal 4" xfId="175"/>
    <cellStyle name="Normal 4 10" xfId="176"/>
    <cellStyle name="Normal 4 2" xfId="9"/>
    <cellStyle name="Normal 4 2 2" xfId="177"/>
    <cellStyle name="Normal 4 2_Sheet2" xfId="178"/>
    <cellStyle name="Normal 4 3" xfId="179"/>
    <cellStyle name="Normal 4 3 2" xfId="180"/>
    <cellStyle name="Normal 4 4" xfId="181"/>
    <cellStyle name="Normal 4 4 2" xfId="182"/>
    <cellStyle name="Normal 4 5" xfId="183"/>
    <cellStyle name="Normal 4 6" xfId="184"/>
    <cellStyle name="Normal 4 7" xfId="185"/>
    <cellStyle name="Normal 4 8" xfId="186"/>
    <cellStyle name="Normal 4 9" xfId="187"/>
    <cellStyle name="Normal 4_Sheet2" xfId="188"/>
    <cellStyle name="Normal 5" xfId="189"/>
    <cellStyle name="Normal 5 2" xfId="190"/>
    <cellStyle name="Normal 5 3" xfId="191"/>
    <cellStyle name="Normal 5 3 2" xfId="192"/>
    <cellStyle name="Normal 5 4" xfId="193"/>
    <cellStyle name="Normal 5 5" xfId="194"/>
    <cellStyle name="Normal 5_Sheet2" xfId="195"/>
    <cellStyle name="Normal 6" xfId="196"/>
    <cellStyle name="Normal 6 2" xfId="197"/>
    <cellStyle name="Normal 6 2 2" xfId="198"/>
    <cellStyle name="Normal 65" xfId="199"/>
    <cellStyle name="Normal 7" xfId="200"/>
    <cellStyle name="Normal 7 2" xfId="201"/>
    <cellStyle name="Normal 8" xfId="202"/>
    <cellStyle name="Normal 8 2" xfId="5"/>
    <cellStyle name="Normal 8 3" xfId="257"/>
    <cellStyle name="Normal 9" xfId="203"/>
    <cellStyle name="Normal 9 2" xfId="204"/>
    <cellStyle name="Normal 9 3" xfId="205"/>
    <cellStyle name="Normal 94" xfId="206"/>
    <cellStyle name="Normal_FY2009_NEW_ULA_DSH_ANAL" xfId="6"/>
    <cellStyle name="Normal_Report550(Statewide) 1 " xfId="7"/>
    <cellStyle name="Note 2" xfId="207"/>
    <cellStyle name="Note 2 2" xfId="208"/>
    <cellStyle name="Note 2 3" xfId="209"/>
    <cellStyle name="Note 3" xfId="210"/>
    <cellStyle name="Output 2" xfId="211"/>
    <cellStyle name="Output 2 2" xfId="212"/>
    <cellStyle name="Output 2 3" xfId="213"/>
    <cellStyle name="Output 3" xfId="214"/>
    <cellStyle name="Percent" xfId="2" builtinId="5"/>
    <cellStyle name="Percent 10" xfId="215"/>
    <cellStyle name="Percent 11" xfId="271"/>
    <cellStyle name="Percent 2" xfId="8"/>
    <cellStyle name="Percent 2 2" xfId="216"/>
    <cellStyle name="Percent 2 3" xfId="217"/>
    <cellStyle name="Percent 2 3 2" xfId="218"/>
    <cellStyle name="Percent 2 4" xfId="254"/>
    <cellStyle name="Percent 2 5" xfId="266"/>
    <cellStyle name="Percent 2 6" xfId="267"/>
    <cellStyle name="Percent 2 6 2" xfId="268"/>
    <cellStyle name="Percent 3" xfId="219"/>
    <cellStyle name="Percent 3 2" xfId="220"/>
    <cellStyle name="Percent 3 2 2" xfId="221"/>
    <cellStyle name="Percent 3 3" xfId="222"/>
    <cellStyle name="Percent 3 4" xfId="259"/>
    <cellStyle name="Percent 4" xfId="223"/>
    <cellStyle name="Percent 4 2" xfId="224"/>
    <cellStyle name="Percent 4 2 2" xfId="225"/>
    <cellStyle name="Percent 4 3" xfId="226"/>
    <cellStyle name="Percent 4 4" xfId="227"/>
    <cellStyle name="Percent 5" xfId="228"/>
    <cellStyle name="Percent 5 2" xfId="229"/>
    <cellStyle name="Percent 5 3" xfId="230"/>
    <cellStyle name="Percent 5 4" xfId="231"/>
    <cellStyle name="Percent 5 5" xfId="232"/>
    <cellStyle name="Percent 6" xfId="233"/>
    <cellStyle name="Percent 6 2" xfId="234"/>
    <cellStyle name="Percent 6 3" xfId="235"/>
    <cellStyle name="Percent 7" xfId="236"/>
    <cellStyle name="Percent 8" xfId="237"/>
    <cellStyle name="Percent 9" xfId="238"/>
    <cellStyle name="rowhead_tbls1_13_a" xfId="239"/>
    <cellStyle name="Style 1" xfId="240"/>
    <cellStyle name="tablename" xfId="241"/>
    <cellStyle name="Title 2" xfId="242"/>
    <cellStyle name="Total 2" xfId="243"/>
    <cellStyle name="Total 2 2" xfId="244"/>
    <cellStyle name="Total 2 3" xfId="245"/>
    <cellStyle name="Total 3" xfId="246"/>
    <cellStyle name="Warning Text 2" xfId="247"/>
    <cellStyle name="Warning Text 3" xfId="248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380115</xdr:colOff>
      <xdr:row>29</xdr:row>
      <xdr:rowOff>8881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7085715" cy="51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10</xdr:col>
      <xdr:colOff>389791</xdr:colOff>
      <xdr:row>47</xdr:row>
      <xdr:rowOff>180595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096000"/>
          <a:ext cx="5876191" cy="3038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ownloads\Proposed%20SFY20_Supp_Pmts_Using_SFY19-$453M%20-%20ValBased%20$15M%20&amp;%20$45M_5-17-19%20(Autosaved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islation"/>
      <sheetName val="Summary 2019"/>
      <sheetName val="Summary 2020 AllPools"/>
      <sheetName val="COMPARE"/>
      <sheetName val="Small"/>
      <sheetName val="IP Supp Combo"/>
      <sheetName val="Mid"/>
      <sheetName val="OP Supp"/>
      <sheetName val="2017 Allocation Basis"/>
    </sheetNames>
    <sheetDataSet>
      <sheetData sheetId="0" refreshError="1"/>
      <sheetData sheetId="1"/>
      <sheetData sheetId="2"/>
      <sheetData sheetId="3" refreshError="1"/>
      <sheetData sheetId="4">
        <row r="9">
          <cell r="A9" t="str">
            <v xml:space="preserve">BACKUS </v>
          </cell>
          <cell r="B9" t="str">
            <v>004041851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 t="str">
            <v xml:space="preserve">BRIDGEPORT </v>
          </cell>
          <cell r="B10" t="str">
            <v>004041703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 xml:space="preserve">BRISTOL </v>
          </cell>
          <cell r="B11" t="str">
            <v>004041901</v>
          </cell>
          <cell r="C11">
            <v>8293100</v>
          </cell>
          <cell r="D11">
            <v>0.37706657202150667</v>
          </cell>
          <cell r="E11">
            <v>5000000</v>
          </cell>
          <cell r="F11">
            <v>0.31606963115116543</v>
          </cell>
          <cell r="G11">
            <v>2819558</v>
          </cell>
          <cell r="H11">
            <v>108911</v>
          </cell>
          <cell r="I11">
            <v>2710647.6522219516</v>
          </cell>
        </row>
        <row r="12">
          <cell r="A12" t="str">
            <v xml:space="preserve">DANBURY </v>
          </cell>
          <cell r="B12" t="str">
            <v>004041935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 xml:space="preserve">DAY KIMBALL </v>
          </cell>
          <cell r="B13" t="str">
            <v>004041638</v>
          </cell>
          <cell r="C13">
            <v>4878874</v>
          </cell>
          <cell r="D13">
            <v>0.22183023169922664</v>
          </cell>
          <cell r="E13">
            <v>4878874</v>
          </cell>
          <cell r="F13">
            <v>0.30841278112260223</v>
          </cell>
          <cell r="G13">
            <v>2751254</v>
          </cell>
          <cell r="H13">
            <v>106272</v>
          </cell>
          <cell r="I13">
            <v>2644981.6707173446</v>
          </cell>
        </row>
        <row r="14">
          <cell r="A14" t="str">
            <v>GREENWICH</v>
          </cell>
          <cell r="B14" t="str">
            <v>004041786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 xml:space="preserve">GRIFFIN </v>
          </cell>
          <cell r="B15" t="str">
            <v>004041927</v>
          </cell>
          <cell r="C15">
            <v>7881330</v>
          </cell>
          <cell r="D15">
            <v>0.35834441717455007</v>
          </cell>
          <cell r="E15">
            <v>5000000</v>
          </cell>
          <cell r="F15">
            <v>0.31606963115116543</v>
          </cell>
          <cell r="G15">
            <v>2819558</v>
          </cell>
          <cell r="H15">
            <v>108911</v>
          </cell>
          <cell r="I15">
            <v>2710647.6522219516</v>
          </cell>
        </row>
        <row r="16">
          <cell r="A16" t="str">
            <v xml:space="preserve">HARTFORD </v>
          </cell>
          <cell r="B16" t="str">
            <v>004041869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HOSP. CEN. CT</v>
          </cell>
          <cell r="B17" t="str">
            <v>004041950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 xml:space="preserve">HUNGERFORD </v>
          </cell>
          <cell r="B18" t="str">
            <v>004041711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JOHNSON</v>
          </cell>
          <cell r="B19" t="str">
            <v>004041687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LAWR &amp; MEM</v>
          </cell>
          <cell r="B20" t="str">
            <v>004041679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MANCHESTER</v>
          </cell>
          <cell r="B21" t="str">
            <v>004041885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MIDDLESEX </v>
          </cell>
          <cell r="B22" t="str">
            <v>004041810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 xml:space="preserve">MIDSTATE </v>
          </cell>
          <cell r="B23" t="str">
            <v>004041778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 xml:space="preserve">MILFORD </v>
          </cell>
          <cell r="B24" t="str">
            <v>004041794</v>
          </cell>
          <cell r="C24">
            <v>940425</v>
          </cell>
          <cell r="D24">
            <v>4.2758779104716621E-2</v>
          </cell>
          <cell r="E24">
            <v>940425</v>
          </cell>
          <cell r="F24">
            <v>5.9447956575066949E-2</v>
          </cell>
          <cell r="G24">
            <v>530317</v>
          </cell>
          <cell r="H24">
            <v>20484</v>
          </cell>
          <cell r="I24">
            <v>509832.1636681658</v>
          </cell>
        </row>
        <row r="25">
          <cell r="A25" t="str">
            <v xml:space="preserve">NORWALK </v>
          </cell>
          <cell r="B25" t="str">
            <v>004041943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ROCKVILLE</v>
          </cell>
          <cell r="B26" t="str">
            <v>004041729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 xml:space="preserve">SHARON </v>
          </cell>
          <cell r="B27" t="str">
            <v>004221800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ST FRANCIS</v>
          </cell>
          <cell r="B28" t="str">
            <v>004041620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 xml:space="preserve">ST MARYS </v>
          </cell>
          <cell r="B29" t="str">
            <v>004041760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ST VINCENTS</v>
          </cell>
          <cell r="B30" t="str">
            <v>004041893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 xml:space="preserve">STAMFORD </v>
          </cell>
          <cell r="B31" t="str">
            <v>004041661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 xml:space="preserve">WATERBURY </v>
          </cell>
          <cell r="B32" t="str">
            <v>004041653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WINDHAM</v>
          </cell>
          <cell r="B33" t="str">
            <v>004041828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YALE</v>
          </cell>
          <cell r="B34" t="str">
            <v>004041836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</sheetData>
      <sheetData sheetId="5">
        <row r="10">
          <cell r="B10" t="str">
            <v xml:space="preserve">BACKUS </v>
          </cell>
          <cell r="C10" t="str">
            <v>004041851</v>
          </cell>
          <cell r="D10">
            <v>11711743</v>
          </cell>
          <cell r="E10">
            <v>1.8558575941330896E-2</v>
          </cell>
          <cell r="F10">
            <v>11711743</v>
          </cell>
          <cell r="G10">
            <v>2.2513165651588379E-2</v>
          </cell>
          <cell r="H10">
            <v>5102689</v>
          </cell>
          <cell r="I10">
            <v>1741294</v>
          </cell>
          <cell r="J10">
            <v>197100.72604873887</v>
          </cell>
          <cell r="K10">
            <v>4905588.753450972</v>
          </cell>
          <cell r="L10">
            <v>67260.664027166305</v>
          </cell>
          <cell r="M10">
            <v>1674033.1891068288</v>
          </cell>
        </row>
        <row r="11">
          <cell r="B11" t="str">
            <v xml:space="preserve">BRIDGEPORT </v>
          </cell>
          <cell r="C11" t="str">
            <v>004041703</v>
          </cell>
          <cell r="D11">
            <v>51668271</v>
          </cell>
          <cell r="E11">
            <v>8.1874195080165676E-2</v>
          </cell>
          <cell r="F11">
            <v>51668271</v>
          </cell>
          <cell r="G11">
            <v>9.9320514799049117E-2</v>
          </cell>
          <cell r="H11">
            <v>22511350</v>
          </cell>
          <cell r="I11">
            <v>7682003</v>
          </cell>
          <cell r="J11">
            <v>869542.11066474044</v>
          </cell>
          <cell r="K11">
            <v>21641807.63938015</v>
          </cell>
          <cell r="L11">
            <v>296731.42730297102</v>
          </cell>
          <cell r="M11">
            <v>7385271.3876803713</v>
          </cell>
        </row>
        <row r="12">
          <cell r="B12" t="str">
            <v xml:space="preserve">BRISTOL </v>
          </cell>
          <cell r="C12" t="str">
            <v>004041901</v>
          </cell>
          <cell r="D12">
            <v>8293100</v>
          </cell>
          <cell r="E12">
            <v>1.3141351047325002E-2</v>
          </cell>
          <cell r="F12">
            <v>8293100</v>
          </cell>
          <cell r="G12">
            <v>1.5941601012350391E-2</v>
          </cell>
          <cell r="H12">
            <v>3613221</v>
          </cell>
          <cell r="I12">
            <v>1233012</v>
          </cell>
          <cell r="J12">
            <v>139567.27288114131</v>
          </cell>
          <cell r="K12">
            <v>3473653.5877916943</v>
          </cell>
          <cell r="L12">
            <v>47627.361089096041</v>
          </cell>
          <cell r="M12">
            <v>1185385.0140480236</v>
          </cell>
        </row>
        <row r="13">
          <cell r="B13" t="str">
            <v xml:space="preserve">DANBURY </v>
          </cell>
          <cell r="C13" t="str">
            <v>004041935</v>
          </cell>
          <cell r="D13">
            <v>23515540</v>
          </cell>
          <cell r="E13">
            <v>3.7263021814208555E-2</v>
          </cell>
          <cell r="F13">
            <v>23515540</v>
          </cell>
          <cell r="G13">
            <v>4.5203284208554829E-2</v>
          </cell>
          <cell r="H13">
            <v>10245486</v>
          </cell>
          <cell r="I13">
            <v>3496274</v>
          </cell>
          <cell r="J13">
            <v>395750.65875576</v>
          </cell>
          <cell r="K13">
            <v>9849735.3088542372</v>
          </cell>
          <cell r="L13">
            <v>135049.99515079783</v>
          </cell>
          <cell r="M13">
            <v>3361224.2362020067</v>
          </cell>
        </row>
        <row r="14">
          <cell r="B14" t="str">
            <v xml:space="preserve">DAY KIMBALL </v>
          </cell>
          <cell r="C14" t="str">
            <v>004041638</v>
          </cell>
          <cell r="D14">
            <v>4878874</v>
          </cell>
          <cell r="E14">
            <v>7.7311253873300354E-3</v>
          </cell>
          <cell r="F14">
            <v>4878874</v>
          </cell>
          <cell r="G14">
            <v>9.3785270523121626E-3</v>
          </cell>
          <cell r="H14">
            <v>2125677</v>
          </cell>
          <cell r="I14">
            <v>725388</v>
          </cell>
          <cell r="J14">
            <v>82108.154840856296</v>
          </cell>
          <cell r="K14">
            <v>2043568.5297999075</v>
          </cell>
          <cell r="L14">
            <v>28019.425028783244</v>
          </cell>
          <cell r="M14">
            <v>697368.18861807243</v>
          </cell>
        </row>
        <row r="15">
          <cell r="B15" t="str">
            <v>GREENWICH</v>
          </cell>
          <cell r="C15" t="str">
            <v>004041786</v>
          </cell>
          <cell r="D15">
            <v>3122136</v>
          </cell>
          <cell r="E15">
            <v>4.9473761552967033E-3</v>
          </cell>
          <cell r="F15">
            <v>3122136</v>
          </cell>
          <cell r="G15">
            <v>6.001597281872351E-3</v>
          </cell>
          <cell r="H15">
            <v>1360283</v>
          </cell>
          <cell r="I15">
            <v>464197</v>
          </cell>
          <cell r="J15">
            <v>52543.440581210278</v>
          </cell>
          <cell r="K15">
            <v>1307740.0390654409</v>
          </cell>
          <cell r="L15">
            <v>17930.460098306536</v>
          </cell>
          <cell r="M15">
            <v>446266.56210823939</v>
          </cell>
        </row>
        <row r="16">
          <cell r="B16" t="str">
            <v xml:space="preserve">GRIFFIN </v>
          </cell>
          <cell r="C16" t="str">
            <v>004041927</v>
          </cell>
          <cell r="D16">
            <v>7881330</v>
          </cell>
          <cell r="E16">
            <v>1.2488855102412121E-2</v>
          </cell>
          <cell r="F16">
            <v>7881330</v>
          </cell>
          <cell r="G16">
            <v>1.5150066718919041E-2</v>
          </cell>
          <cell r="H16">
            <v>3433817</v>
          </cell>
          <cell r="I16">
            <v>1171791</v>
          </cell>
          <cell r="J16">
            <v>132637.46183891734</v>
          </cell>
          <cell r="K16">
            <v>3301179.3214926035</v>
          </cell>
          <cell r="L16">
            <v>45262.561620181266</v>
          </cell>
          <cell r="M16">
            <v>1126528.1345657366</v>
          </cell>
        </row>
        <row r="17">
          <cell r="B17" t="str">
            <v xml:space="preserve">HARTFORD </v>
          </cell>
          <cell r="C17" t="str">
            <v>004041869</v>
          </cell>
          <cell r="D17">
            <v>90881530</v>
          </cell>
          <cell r="E17">
            <v>0.14401202077003758</v>
          </cell>
          <cell r="F17">
            <v>80000000</v>
          </cell>
          <cell r="G17">
            <v>0.1537818283860114</v>
          </cell>
          <cell r="H17">
            <v>34855201</v>
          </cell>
          <cell r="I17">
            <v>13512203</v>
          </cell>
          <cell r="J17">
            <v>1346345.978040938</v>
          </cell>
          <cell r="K17">
            <v>33508855.195685025</v>
          </cell>
          <cell r="L17">
            <v>521933.588843679</v>
          </cell>
          <cell r="M17">
            <v>12990269.466876788</v>
          </cell>
        </row>
        <row r="18">
          <cell r="B18" t="str">
            <v>HOSP. CEN. CT</v>
          </cell>
          <cell r="C18" t="str">
            <v>004041950</v>
          </cell>
          <cell r="D18">
            <v>16400697</v>
          </cell>
          <cell r="E18">
            <v>2.598875169692998E-2</v>
          </cell>
          <cell r="F18">
            <v>16400697</v>
          </cell>
          <cell r="G18">
            <v>3.1526614643312148E-2</v>
          </cell>
          <cell r="H18">
            <v>7145620</v>
          </cell>
          <cell r="I18">
            <v>2438444</v>
          </cell>
          <cell r="J18">
            <v>276012.65553772595</v>
          </cell>
          <cell r="K18">
            <v>6869607.2610163223</v>
          </cell>
          <cell r="L18">
            <v>94189.37648549446</v>
          </cell>
          <cell r="M18">
            <v>2344254.9159834534</v>
          </cell>
        </row>
        <row r="19">
          <cell r="B19" t="str">
            <v xml:space="preserve">HUNGERFORD </v>
          </cell>
          <cell r="C19" t="str">
            <v>004041711</v>
          </cell>
          <cell r="D19">
            <v>5770419</v>
          </cell>
          <cell r="E19">
            <v>9.1438788594318272E-3</v>
          </cell>
          <cell r="F19">
            <v>5770419</v>
          </cell>
          <cell r="G19">
            <v>1.1092319804667244E-2</v>
          </cell>
          <cell r="H19">
            <v>2514114</v>
          </cell>
          <cell r="I19">
            <v>857942</v>
          </cell>
          <cell r="J19">
            <v>97112.255153262653</v>
          </cell>
          <cell r="K19">
            <v>2417001.6836178699</v>
          </cell>
          <cell r="L19">
            <v>33139.577401500101</v>
          </cell>
          <cell r="M19">
            <v>824802.33053719136</v>
          </cell>
        </row>
        <row r="20">
          <cell r="B20" t="str">
            <v>JOHNSON</v>
          </cell>
          <cell r="C20" t="str">
            <v>004041687</v>
          </cell>
          <cell r="D20">
            <v>4137390</v>
          </cell>
          <cell r="E20">
            <v>6.5561604719214751E-3</v>
          </cell>
          <cell r="F20">
            <v>4137390</v>
          </cell>
          <cell r="G20">
            <v>7.9531924868249965E-3</v>
          </cell>
          <cell r="H20">
            <v>1802620</v>
          </cell>
          <cell r="I20">
            <v>615144</v>
          </cell>
          <cell r="J20">
            <v>69629.479826084964</v>
          </cell>
          <cell r="K20">
            <v>1732990.0299759409</v>
          </cell>
          <cell r="L20">
            <v>23761.074567582091</v>
          </cell>
          <cell r="M20">
            <v>591383.21053311217</v>
          </cell>
        </row>
        <row r="21">
          <cell r="B21" t="str">
            <v>LAWR &amp; MEM</v>
          </cell>
          <cell r="C21" t="str">
            <v>004041679</v>
          </cell>
          <cell r="D21">
            <v>14187579</v>
          </cell>
          <cell r="E21">
            <v>2.2481816950314863E-2</v>
          </cell>
          <cell r="F21">
            <v>14187579</v>
          </cell>
          <cell r="G21">
            <v>2.7272397987387242E-2</v>
          </cell>
          <cell r="H21">
            <v>6181387</v>
          </cell>
          <cell r="I21">
            <v>2109399</v>
          </cell>
          <cell r="J21">
            <v>238767.37405985093</v>
          </cell>
          <cell r="K21">
            <v>5942619.1286042724</v>
          </cell>
          <cell r="L21">
            <v>81479.416383870455</v>
          </cell>
          <cell r="M21">
            <v>2027920.0217316134</v>
          </cell>
        </row>
        <row r="22">
          <cell r="B22" t="str">
            <v>MANCHESTER</v>
          </cell>
          <cell r="C22" t="str">
            <v>004041885</v>
          </cell>
          <cell r="D22">
            <v>13363342</v>
          </cell>
          <cell r="E22">
            <v>2.1175720585482168E-2</v>
          </cell>
          <cell r="F22">
            <v>13363342</v>
          </cell>
          <cell r="G22">
            <v>2.568798957634473E-2</v>
          </cell>
          <cell r="H22">
            <v>5822275</v>
          </cell>
          <cell r="I22">
            <v>1986852</v>
          </cell>
          <cell r="J22">
            <v>224896.02193606933</v>
          </cell>
          <cell r="K22">
            <v>5597378.6501051998</v>
          </cell>
          <cell r="L22">
            <v>76745.814567662601</v>
          </cell>
          <cell r="M22">
            <v>1910106.6361672406</v>
          </cell>
        </row>
        <row r="23">
          <cell r="B23" t="str">
            <v xml:space="preserve">MIDSTATE </v>
          </cell>
          <cell r="C23" t="str">
            <v>004041778</v>
          </cell>
          <cell r="D23">
            <v>10767071</v>
          </cell>
          <cell r="E23">
            <v>1.7061636753743795E-2</v>
          </cell>
          <cell r="F23">
            <v>10767071</v>
          </cell>
          <cell r="G23">
            <v>2.0697248309275003E-2</v>
          </cell>
          <cell r="H23">
            <v>4691105</v>
          </cell>
          <cell r="I23">
            <v>1600841</v>
          </cell>
          <cell r="J23">
            <v>181202.53420164029</v>
          </cell>
          <cell r="K23">
            <v>4509902.7877582451</v>
          </cell>
          <cell r="L23">
            <v>61835.402731057671</v>
          </cell>
          <cell r="M23">
            <v>1539005.2704767901</v>
          </cell>
        </row>
        <row r="24">
          <cell r="B24" t="str">
            <v xml:space="preserve">MIDDLESEX </v>
          </cell>
          <cell r="C24" t="str">
            <v>004041810</v>
          </cell>
          <cell r="D24">
            <v>12784793</v>
          </cell>
          <cell r="E24">
            <v>2.0258944529836051E-2</v>
          </cell>
          <cell r="F24">
            <v>12784793</v>
          </cell>
          <cell r="G24">
            <v>2.4575860538458498E-2</v>
          </cell>
          <cell r="H24">
            <v>5570207</v>
          </cell>
          <cell r="I24">
            <v>1900834</v>
          </cell>
          <cell r="J24">
            <v>215159.43294544923</v>
          </cell>
          <cell r="K24">
            <v>5355047.2167975949</v>
          </cell>
          <cell r="L24">
            <v>73423.201536258741</v>
          </cell>
          <cell r="M24">
            <v>1827410.9838186051</v>
          </cell>
        </row>
        <row r="25">
          <cell r="B25" t="str">
            <v xml:space="preserve">MILFORD </v>
          </cell>
          <cell r="C25" t="str">
            <v>004041794</v>
          </cell>
          <cell r="D25">
            <v>940425</v>
          </cell>
          <cell r="E25">
            <v>1.4902093377242062E-3</v>
          </cell>
          <cell r="F25">
            <v>940425</v>
          </cell>
          <cell r="G25">
            <v>1.8077534494989347E-3</v>
          </cell>
          <cell r="H25">
            <v>409734</v>
          </cell>
          <cell r="I25">
            <v>139822</v>
          </cell>
          <cell r="J25">
            <v>15826.717704989365</v>
          </cell>
          <cell r="K25">
            <v>393907.06434252614</v>
          </cell>
          <cell r="L25">
            <v>5400.8707301507447</v>
          </cell>
          <cell r="M25">
            <v>134420.86817186727</v>
          </cell>
        </row>
        <row r="26">
          <cell r="B26" t="str">
            <v xml:space="preserve">NORWALK </v>
          </cell>
          <cell r="C26" t="str">
            <v>004041943</v>
          </cell>
          <cell r="D26">
            <v>18373527</v>
          </cell>
          <cell r="E26">
            <v>2.9114923042590127E-2</v>
          </cell>
          <cell r="F26">
            <v>18373527</v>
          </cell>
          <cell r="G26">
            <v>3.531893219949684E-2</v>
          </cell>
          <cell r="H26">
            <v>8005162</v>
          </cell>
          <cell r="I26">
            <v>2731763</v>
          </cell>
          <cell r="J26">
            <v>309214.05223595735</v>
          </cell>
          <cell r="K26">
            <v>7695948.1959626153</v>
          </cell>
          <cell r="L26">
            <v>105519.36005947781</v>
          </cell>
          <cell r="M26">
            <v>2626243.9330294752</v>
          </cell>
        </row>
        <row r="27">
          <cell r="B27" t="str">
            <v>ROCKVILLE</v>
          </cell>
          <cell r="C27" t="str">
            <v>004041729</v>
          </cell>
          <cell r="D27">
            <v>2456105</v>
          </cell>
          <cell r="E27">
            <v>3.8919750170732506E-3</v>
          </cell>
          <cell r="F27">
            <v>2456105</v>
          </cell>
          <cell r="G27">
            <v>4.721303970100307E-3</v>
          </cell>
          <cell r="H27">
            <v>1070100</v>
          </cell>
          <cell r="I27">
            <v>365172</v>
          </cell>
          <cell r="J27">
            <v>41334.58860495298</v>
          </cell>
          <cell r="K27">
            <v>1028765.8348799747</v>
          </cell>
          <cell r="L27">
            <v>14105.437014835734</v>
          </cell>
          <cell r="M27">
            <v>351066.55652631959</v>
          </cell>
        </row>
        <row r="28">
          <cell r="B28" t="str">
            <v>ST FRANCIS</v>
          </cell>
          <cell r="C28" t="str">
            <v>004041620</v>
          </cell>
          <cell r="D28">
            <v>58681667</v>
          </cell>
          <cell r="E28">
            <v>9.2987710999412401E-2</v>
          </cell>
          <cell r="F28">
            <v>58681667</v>
          </cell>
          <cell r="G28">
            <v>0.11280217554998836</v>
          </cell>
          <cell r="H28">
            <v>25567016</v>
          </cell>
          <cell r="I28">
            <v>8724750</v>
          </cell>
          <cell r="J28">
            <v>987572.82937734562</v>
          </cell>
          <cell r="K28">
            <v>24579443.52680511</v>
          </cell>
          <cell r="L28">
            <v>337009.43477337679</v>
          </cell>
          <cell r="M28">
            <v>8387740.2492622109</v>
          </cell>
        </row>
        <row r="29">
          <cell r="B29" t="str">
            <v xml:space="preserve">ST MARYS </v>
          </cell>
          <cell r="C29" t="str">
            <v>004041760</v>
          </cell>
          <cell r="D29">
            <v>22104953</v>
          </cell>
          <cell r="E29">
            <v>3.502778783056034E-2</v>
          </cell>
          <cell r="F29">
            <v>22104953</v>
          </cell>
          <cell r="G29">
            <v>4.2491751109085596E-2</v>
          </cell>
          <cell r="H29">
            <v>9630907</v>
          </cell>
          <cell r="I29">
            <v>3286549</v>
          </cell>
          <cell r="J29">
            <v>372011.43207917461</v>
          </cell>
          <cell r="K29">
            <v>9258895.8648052905</v>
          </cell>
          <cell r="L29">
            <v>126948.9790776063</v>
          </cell>
          <cell r="M29">
            <v>3159600.1522272616</v>
          </cell>
        </row>
        <row r="30">
          <cell r="B30" t="str">
            <v>ST VINCENTS</v>
          </cell>
          <cell r="C30" t="str">
            <v>004041893</v>
          </cell>
          <cell r="D30">
            <v>28734919</v>
          </cell>
          <cell r="E30">
            <v>4.5533715726983767E-2</v>
          </cell>
          <cell r="F30">
            <v>28734919</v>
          </cell>
          <cell r="G30">
            <v>5.5236354779299231E-2</v>
          </cell>
          <cell r="H30">
            <v>12519517</v>
          </cell>
          <cell r="I30">
            <v>4272288</v>
          </cell>
          <cell r="J30">
            <v>483589.28281227668</v>
          </cell>
          <cell r="K30">
            <v>12035927.997884231</v>
          </cell>
          <cell r="L30">
            <v>165024.94399909882</v>
          </cell>
          <cell r="M30">
            <v>4107262.949015907</v>
          </cell>
        </row>
        <row r="31">
          <cell r="B31" t="str">
            <v xml:space="preserve">SHARON </v>
          </cell>
          <cell r="C31" t="str">
            <v>004221800</v>
          </cell>
          <cell r="D31">
            <v>1006807</v>
          </cell>
          <cell r="E31">
            <v>1.5953990936928462E-3</v>
          </cell>
          <cell r="F31">
            <v>1006807</v>
          </cell>
          <cell r="G31">
            <v>1.9353577661479374E-3</v>
          </cell>
          <cell r="H31">
            <v>438656</v>
          </cell>
          <cell r="I31">
            <v>149691</v>
          </cell>
          <cell r="J31">
            <v>16943.881938918286</v>
          </cell>
          <cell r="K31">
            <v>421711.87466252572</v>
          </cell>
          <cell r="L31">
            <v>5782.1032588573044</v>
          </cell>
          <cell r="M31">
            <v>143909.26551454203</v>
          </cell>
        </row>
        <row r="32">
          <cell r="B32" t="str">
            <v xml:space="preserve">STAMFORD </v>
          </cell>
          <cell r="C32" t="str">
            <v>004041661</v>
          </cell>
          <cell r="D32">
            <v>16242925</v>
          </cell>
          <cell r="E32">
            <v>2.5738744192204538E-2</v>
          </cell>
          <cell r="F32">
            <v>16242925</v>
          </cell>
          <cell r="G32">
            <v>3.122333381046068E-2</v>
          </cell>
          <cell r="H32">
            <v>7076880</v>
          </cell>
          <cell r="I32">
            <v>2414987</v>
          </cell>
          <cell r="J32">
            <v>273357.4593171326</v>
          </cell>
          <cell r="K32">
            <v>6803522.7722421531</v>
          </cell>
          <cell r="L32">
            <v>93283.290219351664</v>
          </cell>
          <cell r="M32">
            <v>2321703.5703543904</v>
          </cell>
        </row>
        <row r="33">
          <cell r="B33" t="str">
            <v xml:space="preserve">WATERBURY </v>
          </cell>
          <cell r="C33" t="str">
            <v>004041653</v>
          </cell>
          <cell r="D33">
            <v>20456455</v>
          </cell>
          <cell r="E33">
            <v>3.2415557070191697E-2</v>
          </cell>
          <cell r="F33">
            <v>20456455</v>
          </cell>
          <cell r="G33">
            <v>3.9322888152452058E-2</v>
          </cell>
          <cell r="H33">
            <v>8912673</v>
          </cell>
          <cell r="I33">
            <v>3041452</v>
          </cell>
          <cell r="J33">
            <v>344268.32392781798</v>
          </cell>
          <cell r="K33">
            <v>8568404.855150586</v>
          </cell>
          <cell r="L33">
            <v>117481.63761293655</v>
          </cell>
          <cell r="M33">
            <v>2923969.9506273605</v>
          </cell>
        </row>
        <row r="34">
          <cell r="B34" t="str">
            <v>WINDHAM</v>
          </cell>
          <cell r="C34" t="str">
            <v>004041828</v>
          </cell>
          <cell r="D34">
            <v>2737443</v>
          </cell>
          <cell r="E34">
            <v>4.3377867667147981E-3</v>
          </cell>
          <cell r="F34">
            <v>2737443</v>
          </cell>
          <cell r="G34">
            <v>5.2621123705311025E-3</v>
          </cell>
          <cell r="H34">
            <v>1192677</v>
          </cell>
          <cell r="I34">
            <v>407001</v>
          </cell>
          <cell r="J34">
            <v>46069.317164578999</v>
          </cell>
          <cell r="K34">
            <v>1146607.26366802</v>
          </cell>
          <cell r="L34">
            <v>15721.164127023467</v>
          </cell>
          <cell r="M34">
            <v>391279.96877050365</v>
          </cell>
        </row>
        <row r="35">
          <cell r="B35" t="str">
            <v>YALE</v>
          </cell>
          <cell r="C35" t="str">
            <v>004041836</v>
          </cell>
          <cell r="D35">
            <v>179970015</v>
          </cell>
          <cell r="E35">
            <v>0.28518275977708529</v>
          </cell>
          <cell r="F35">
            <v>80000000</v>
          </cell>
          <cell r="G35">
            <v>0.1537818283860114</v>
          </cell>
          <cell r="H35">
            <v>34855201</v>
          </cell>
          <cell r="I35">
            <v>26757818</v>
          </cell>
          <cell r="J35">
            <v>1346345.978040938</v>
          </cell>
          <cell r="K35">
            <v>33508855.195685025</v>
          </cell>
          <cell r="L35">
            <v>1033569.7012715426</v>
          </cell>
          <cell r="M35">
            <v>25724247.719067417</v>
          </cell>
        </row>
      </sheetData>
      <sheetData sheetId="6">
        <row r="9">
          <cell r="A9" t="str">
            <v xml:space="preserve">BACKUS </v>
          </cell>
          <cell r="B9" t="str">
            <v>004041851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 t="str">
            <v xml:space="preserve">BRIDGEPORT </v>
          </cell>
          <cell r="B10" t="str">
            <v>004041703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 xml:space="preserve">BRISTOL </v>
          </cell>
          <cell r="B11" t="str">
            <v>004041901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 xml:space="preserve">DANBURY </v>
          </cell>
          <cell r="B12" t="str">
            <v>004041935</v>
          </cell>
          <cell r="C12">
            <v>23515540</v>
          </cell>
          <cell r="D12">
            <v>0.31761051731156376</v>
          </cell>
          <cell r="E12">
            <v>14500000</v>
          </cell>
          <cell r="F12">
            <v>0.24407927230172091</v>
          </cell>
          <cell r="G12">
            <v>14383574</v>
          </cell>
          <cell r="H12">
            <v>555592</v>
          </cell>
          <cell r="I12">
            <v>13827982.287801024</v>
          </cell>
        </row>
        <row r="13">
          <cell r="A13" t="str">
            <v xml:space="preserve">DAY KIMBALL </v>
          </cell>
          <cell r="B13" t="str">
            <v>004041638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GREENWICH</v>
          </cell>
          <cell r="B14" t="str">
            <v>004041786</v>
          </cell>
          <cell r="C14">
            <v>3122136</v>
          </cell>
          <cell r="D14">
            <v>4.2168847922567643E-2</v>
          </cell>
          <cell r="E14">
            <v>3122136</v>
          </cell>
          <cell r="F14">
            <v>5.2555081579793494E-2</v>
          </cell>
          <cell r="G14">
            <v>3097067</v>
          </cell>
          <cell r="H14">
            <v>119630</v>
          </cell>
          <cell r="I14">
            <v>2977437.3315935126</v>
          </cell>
        </row>
        <row r="15">
          <cell r="A15" t="str">
            <v xml:space="preserve">GRIFFIN </v>
          </cell>
          <cell r="B15" t="str">
            <v>004041927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 xml:space="preserve">HARTFORD </v>
          </cell>
          <cell r="B16" t="str">
            <v>004041869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HOSP. CEN. CT</v>
          </cell>
          <cell r="B17" t="str">
            <v>004041950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 xml:space="preserve">HUNGERFORD </v>
          </cell>
          <cell r="B18" t="str">
            <v>004041711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JOHNSON</v>
          </cell>
          <cell r="B19" t="str">
            <v>004041687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LAWR &amp; MEM</v>
          </cell>
          <cell r="B20" t="str">
            <v>004041679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MANCHESTER</v>
          </cell>
          <cell r="B21" t="str">
            <v>004041885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MIDDLESEX </v>
          </cell>
          <cell r="B22" t="str">
            <v>004041810</v>
          </cell>
          <cell r="C22">
            <v>12784793</v>
          </cell>
          <cell r="D22">
            <v>0.17267665205439717</v>
          </cell>
          <cell r="E22">
            <v>12784793</v>
          </cell>
          <cell r="F22">
            <v>0.2152071015150438</v>
          </cell>
          <cell r="G22">
            <v>12682139</v>
          </cell>
          <cell r="H22">
            <v>489871</v>
          </cell>
          <cell r="I22">
            <v>12192268.355669137</v>
          </cell>
        </row>
        <row r="23">
          <cell r="A23" t="str">
            <v xml:space="preserve">MIDSTATE </v>
          </cell>
          <cell r="B23" t="str">
            <v>004041778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 xml:space="preserve">MILFORD </v>
          </cell>
          <cell r="B24" t="str">
            <v>004041794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 xml:space="preserve">NORWALK </v>
          </cell>
          <cell r="B25" t="str">
            <v>004041943</v>
          </cell>
          <cell r="C25">
            <v>18373527</v>
          </cell>
          <cell r="D25">
            <v>0.24816038310444855</v>
          </cell>
          <cell r="E25">
            <v>14500000</v>
          </cell>
          <cell r="F25">
            <v>0.24407927230172091</v>
          </cell>
          <cell r="G25">
            <v>14383574</v>
          </cell>
          <cell r="H25">
            <v>555592</v>
          </cell>
          <cell r="I25">
            <v>13827982.287801024</v>
          </cell>
        </row>
        <row r="26">
          <cell r="A26" t="str">
            <v>ROCKVILLE</v>
          </cell>
          <cell r="B26" t="str">
            <v>004041729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 xml:space="preserve">SHARON </v>
          </cell>
          <cell r="B27" t="str">
            <v>004221800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ST FRANCIS</v>
          </cell>
          <cell r="B28" t="str">
            <v>004041620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 xml:space="preserve">ST MARYS </v>
          </cell>
          <cell r="B29" t="str">
            <v>004041760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ST VINCENTS</v>
          </cell>
          <cell r="B30" t="str">
            <v>004041893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 xml:space="preserve">STAMFORD </v>
          </cell>
          <cell r="B31" t="str">
            <v>004041661</v>
          </cell>
          <cell r="C31">
            <v>16242925</v>
          </cell>
          <cell r="D31">
            <v>0.21938359960702292</v>
          </cell>
          <cell r="E31">
            <v>14500000</v>
          </cell>
          <cell r="F31">
            <v>0.24407927230172091</v>
          </cell>
          <cell r="G31">
            <v>14383574</v>
          </cell>
          <cell r="H31">
            <v>555592</v>
          </cell>
          <cell r="I31">
            <v>13827982.287801024</v>
          </cell>
        </row>
        <row r="32">
          <cell r="A32" t="str">
            <v xml:space="preserve">WATERBURY </v>
          </cell>
          <cell r="B32" t="str">
            <v>004041653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WINDHAM</v>
          </cell>
          <cell r="B33" t="str">
            <v>004041828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YALE</v>
          </cell>
          <cell r="B34" t="str">
            <v>004041836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</sheetData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M35" sqref="M35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workbookViewId="0"/>
  </sheetViews>
  <sheetFormatPr defaultRowHeight="15"/>
  <cols>
    <col min="1" max="1" width="16.7109375" customWidth="1"/>
    <col min="2" max="3" width="12.5703125" bestFit="1" customWidth="1"/>
    <col min="4" max="4" width="8" customWidth="1"/>
  </cols>
  <sheetData>
    <row r="1" spans="1:3">
      <c r="A1" s="158" t="s">
        <v>122</v>
      </c>
    </row>
    <row r="2" spans="1:3">
      <c r="A2" t="s">
        <v>120</v>
      </c>
    </row>
    <row r="3" spans="1:3" s="10" customFormat="1"/>
    <row r="4" spans="1:3">
      <c r="B4" s="144" t="s">
        <v>117</v>
      </c>
      <c r="C4" s="144" t="s">
        <v>119</v>
      </c>
    </row>
    <row r="5" spans="1:3">
      <c r="A5" s="7" t="s">
        <v>6</v>
      </c>
      <c r="B5" s="104" t="s">
        <v>116</v>
      </c>
      <c r="C5" s="104" t="s">
        <v>116</v>
      </c>
    </row>
    <row r="6" spans="1:3">
      <c r="A6" s="10" t="s">
        <v>8</v>
      </c>
      <c r="B6" s="18">
        <f t="shared" ref="B6:B31" si="0">C6/4</f>
        <v>2632969.8325878899</v>
      </c>
      <c r="C6" s="18">
        <f>VLOOKUP(A6,'2020 Detail'!$A$49:$G$74,7,FALSE)</f>
        <v>10531879.330351559</v>
      </c>
    </row>
    <row r="7" spans="1:3">
      <c r="A7" s="10" t="s">
        <v>9</v>
      </c>
      <c r="B7" s="18">
        <f t="shared" si="0"/>
        <v>8753761.7258975543</v>
      </c>
      <c r="C7" s="18">
        <f>VLOOKUP(A7,'2020 Detail'!$A$49:$G$74,7,FALSE)</f>
        <v>35015046.903590217</v>
      </c>
    </row>
    <row r="8" spans="1:3">
      <c r="A8" s="10" t="s">
        <v>10</v>
      </c>
      <c r="B8" s="18">
        <f t="shared" si="0"/>
        <v>2354868.4007777036</v>
      </c>
      <c r="C8" s="18">
        <f>VLOOKUP(A8,'2020 Detail'!$A$49:$G$74,7,FALSE)</f>
        <v>9419473.6031108145</v>
      </c>
    </row>
    <row r="9" spans="1:3">
      <c r="A9" s="8" t="s">
        <v>11</v>
      </c>
      <c r="B9" s="18">
        <f t="shared" si="0"/>
        <v>7366724.1077897968</v>
      </c>
      <c r="C9" s="18">
        <f>VLOOKUP(A9,'2020 Detail'!$A$49:$G$74,7,FALSE)</f>
        <v>29466896.431159187</v>
      </c>
    </row>
    <row r="10" spans="1:3">
      <c r="A10" s="9" t="s">
        <v>12</v>
      </c>
      <c r="B10" s="18">
        <f t="shared" si="0"/>
        <v>1895334.0348667416</v>
      </c>
      <c r="C10" s="18">
        <f>VLOOKUP(A10,'2020 Detail'!$A$49:$G$74,7,FALSE)</f>
        <v>7581336.1394669665</v>
      </c>
    </row>
    <row r="11" spans="1:3">
      <c r="A11" s="9" t="s">
        <v>13</v>
      </c>
      <c r="B11" s="18">
        <f t="shared" si="0"/>
        <v>1390605.1129055929</v>
      </c>
      <c r="C11" s="18">
        <f>VLOOKUP(A11,'2020 Detail'!$A$49:$G$74,7,FALSE)</f>
        <v>5562420.4516223716</v>
      </c>
    </row>
    <row r="12" spans="1:3">
      <c r="A12" s="9" t="s">
        <v>14</v>
      </c>
      <c r="B12" s="18">
        <f t="shared" si="0"/>
        <v>2329987.6042990577</v>
      </c>
      <c r="C12" s="18">
        <f>VLOOKUP(A12,'2020 Detail'!$A$49:$G$74,7,FALSE)</f>
        <v>9319950.417196231</v>
      </c>
    </row>
    <row r="13" spans="1:3">
      <c r="A13" s="9" t="s">
        <v>15</v>
      </c>
      <c r="B13" s="18">
        <f t="shared" si="0"/>
        <v>12496720.525286974</v>
      </c>
      <c r="C13" s="18">
        <f>VLOOKUP(A13,'2020 Detail'!$A$49:$G$74,7,FALSE)</f>
        <v>49986882.101147898</v>
      </c>
    </row>
    <row r="14" spans="1:3">
      <c r="A14" s="9" t="s">
        <v>16</v>
      </c>
      <c r="B14" s="18">
        <f t="shared" si="0"/>
        <v>3967928.0318857576</v>
      </c>
      <c r="C14" s="18">
        <f>VLOOKUP(A14,'2020 Detail'!$A$49:$G$74,7,FALSE)</f>
        <v>15871712.12754303</v>
      </c>
    </row>
    <row r="15" spans="1:3">
      <c r="A15" s="9" t="s">
        <v>17</v>
      </c>
      <c r="B15" s="18">
        <f t="shared" si="0"/>
        <v>1071447.9019946198</v>
      </c>
      <c r="C15" s="18">
        <f>VLOOKUP(A15,'2020 Detail'!$A$49:$G$74,7,FALSE)</f>
        <v>4285791.607978479</v>
      </c>
    </row>
    <row r="16" spans="1:3">
      <c r="A16" s="9" t="s">
        <v>18</v>
      </c>
      <c r="B16" s="18">
        <f t="shared" si="0"/>
        <v>642703.42870735982</v>
      </c>
      <c r="C16" s="18">
        <f>VLOOKUP(A16,'2020 Detail'!$A$49:$G$74,7,FALSE)</f>
        <v>2570813.7148294393</v>
      </c>
    </row>
    <row r="17" spans="1:3">
      <c r="A17" s="9" t="s">
        <v>19</v>
      </c>
      <c r="B17" s="18">
        <f t="shared" si="0"/>
        <v>3113527.2977390462</v>
      </c>
      <c r="C17" s="18">
        <f>VLOOKUP(A17,'2020 Detail'!$A$49:$G$74,7,FALSE)</f>
        <v>12454109.190956185</v>
      </c>
    </row>
    <row r="18" spans="1:3">
      <c r="A18" s="9" t="s">
        <v>20</v>
      </c>
      <c r="B18" s="18">
        <f t="shared" si="0"/>
        <v>2258508.472760452</v>
      </c>
      <c r="C18" s="18">
        <f>VLOOKUP(A18,'2020 Detail'!$A$49:$G$74,7,FALSE)</f>
        <v>9034033.8910418078</v>
      </c>
    </row>
    <row r="19" spans="1:3">
      <c r="A19" s="9" t="s">
        <v>21</v>
      </c>
      <c r="B19" s="18">
        <f t="shared" si="0"/>
        <v>1798116.5003767943</v>
      </c>
      <c r="C19" s="18">
        <f>VLOOKUP(A19,'2020 Detail'!$A$49:$G$74,7,FALSE)</f>
        <v>7192466.001507177</v>
      </c>
    </row>
    <row r="20" spans="1:3">
      <c r="A20" s="9" t="s">
        <v>22</v>
      </c>
      <c r="B20" s="18">
        <f t="shared" si="0"/>
        <v>5692821.7190536829</v>
      </c>
      <c r="C20" s="18">
        <f>VLOOKUP(A20,'2020 Detail'!$A$49:$G$74,7,FALSE)</f>
        <v>22771286.876214731</v>
      </c>
    </row>
    <row r="21" spans="1:3">
      <c r="A21" s="9" t="s">
        <v>23</v>
      </c>
      <c r="B21" s="18">
        <f t="shared" si="0"/>
        <v>303445.53279449767</v>
      </c>
      <c r="C21" s="18">
        <f>VLOOKUP(A21,'2020 Detail'!$A$49:$G$74,7,FALSE)</f>
        <v>1213782.1311779907</v>
      </c>
    </row>
    <row r="22" spans="1:3">
      <c r="A22" s="9" t="s">
        <v>24</v>
      </c>
      <c r="B22" s="18">
        <f t="shared" si="0"/>
        <v>7136544.3590441672</v>
      </c>
      <c r="C22" s="18">
        <f>VLOOKUP(A22,'2020 Detail'!$A$49:$G$74,7,FALSE)</f>
        <v>28546177.436176669</v>
      </c>
    </row>
    <row r="23" spans="1:3">
      <c r="A23" s="9" t="s">
        <v>25</v>
      </c>
      <c r="B23" s="18">
        <f t="shared" si="0"/>
        <v>432502.09274876089</v>
      </c>
      <c r="C23" s="18">
        <f>VLOOKUP(A23,'2020 Detail'!$A$49:$G$74,7,FALSE)</f>
        <v>1730008.3709950435</v>
      </c>
    </row>
    <row r="24" spans="1:3">
      <c r="A24" s="9" t="s">
        <v>26</v>
      </c>
      <c r="B24" s="18">
        <f t="shared" si="0"/>
        <v>9061108.2528313212</v>
      </c>
      <c r="C24" s="18">
        <f>VLOOKUP(A24,'2020 Detail'!$A$49:$G$74,7,FALSE)</f>
        <v>36244433.011325285</v>
      </c>
    </row>
    <row r="25" spans="1:3">
      <c r="A25" s="9" t="s">
        <v>27</v>
      </c>
      <c r="B25" s="18">
        <f t="shared" si="0"/>
        <v>3942249.7368867635</v>
      </c>
      <c r="C25" s="18">
        <f>VLOOKUP(A25,'2020 Detail'!$A$49:$G$74,7,FALSE)</f>
        <v>15768998.947547054</v>
      </c>
    </row>
    <row r="26" spans="1:3">
      <c r="A26" s="9" t="s">
        <v>28</v>
      </c>
      <c r="B26" s="18">
        <f t="shared" si="0"/>
        <v>6440383.0494660521</v>
      </c>
      <c r="C26" s="18">
        <f>VLOOKUP(A26,'2020 Detail'!$A$49:$G$74,7,FALSE)</f>
        <v>25761532.197864208</v>
      </c>
    </row>
    <row r="27" spans="1:3">
      <c r="A27" s="9" t="s">
        <v>29</v>
      </c>
      <c r="B27" s="18">
        <f t="shared" si="0"/>
        <v>192415.92182321698</v>
      </c>
      <c r="C27" s="18">
        <f>VLOOKUP(A27,'2020 Detail'!$A$49:$G$74,7,FALSE)</f>
        <v>769663.68729286792</v>
      </c>
    </row>
    <row r="28" spans="1:3">
      <c r="A28" s="9" t="s">
        <v>30</v>
      </c>
      <c r="B28" s="18">
        <f t="shared" si="0"/>
        <v>6362874.739590181</v>
      </c>
      <c r="C28" s="18">
        <f>VLOOKUP(A28,'2020 Detail'!$A$49:$G$74,7,FALSE)</f>
        <v>25451498.958360724</v>
      </c>
    </row>
    <row r="29" spans="1:3">
      <c r="A29" s="10" t="s">
        <v>31</v>
      </c>
      <c r="B29" s="18">
        <f t="shared" si="0"/>
        <v>3530928.673228798</v>
      </c>
      <c r="C29" s="18">
        <f>VLOOKUP(A29,'2020 Detail'!$A$49:$G$74,7,FALSE)</f>
        <v>14123714.692915192</v>
      </c>
    </row>
    <row r="30" spans="1:3">
      <c r="A30" s="10" t="s">
        <v>32</v>
      </c>
      <c r="B30" s="18">
        <f t="shared" si="0"/>
        <v>521235.33151161677</v>
      </c>
      <c r="C30" s="18">
        <f>VLOOKUP(A30,'2020 Detail'!$A$49:$G$74,7,FALSE)</f>
        <v>2084941.3260464671</v>
      </c>
    </row>
    <row r="31" spans="1:3">
      <c r="A31" s="7" t="s">
        <v>33</v>
      </c>
      <c r="B31" s="1">
        <f t="shared" si="0"/>
        <v>17643063.113145605</v>
      </c>
      <c r="C31" s="1">
        <f>VLOOKUP(A31,'2020 Detail'!$A$49:$G$74,7,FALSE)</f>
        <v>70572252.452582419</v>
      </c>
    </row>
    <row r="32" spans="1:3">
      <c r="A32" s="16" t="s">
        <v>34</v>
      </c>
      <c r="B32" s="17">
        <f>SUM(B6:B31)</f>
        <v>113332775.50000003</v>
      </c>
      <c r="C32" s="18">
        <f>SUM(C6:C31)</f>
        <v>453331102.00000012</v>
      </c>
    </row>
    <row r="34" spans="1:4">
      <c r="A34" s="7" t="s">
        <v>115</v>
      </c>
      <c r="B34" s="104" t="s">
        <v>116</v>
      </c>
      <c r="C34" s="104" t="s">
        <v>116</v>
      </c>
      <c r="D34" s="10"/>
    </row>
    <row r="35" spans="1:4">
      <c r="A35" s="10" t="s">
        <v>104</v>
      </c>
      <c r="B35" s="17">
        <f>B6+B13+B14+B15+B26+B30+B19</f>
        <v>28928801.173109703</v>
      </c>
      <c r="C35" s="17">
        <f>C6+C13+C14+C15+C26+C30+C19</f>
        <v>115715204.69243881</v>
      </c>
    </row>
    <row r="36" spans="1:4">
      <c r="A36" s="10" t="s">
        <v>105</v>
      </c>
      <c r="B36" s="17">
        <f>B7+B11+B17+B21+B31</f>
        <v>31204402.782482296</v>
      </c>
      <c r="C36" s="17">
        <f>C7+C11+C17+C21+C31</f>
        <v>124817611.12992918</v>
      </c>
    </row>
    <row r="37" spans="1:4">
      <c r="A37" s="10" t="s">
        <v>113</v>
      </c>
      <c r="B37" s="17">
        <f>B9+B22+B27</f>
        <v>14695684.388657181</v>
      </c>
      <c r="C37" s="17">
        <f>C9+C22+C27</f>
        <v>58782737.554628722</v>
      </c>
    </row>
    <row r="38" spans="1:4">
      <c r="A38" s="10" t="s">
        <v>106</v>
      </c>
      <c r="B38" s="17">
        <f>B18+B23+B29</f>
        <v>6221939.2387380106</v>
      </c>
      <c r="C38" s="17">
        <f>C18+C23+C29</f>
        <v>24887756.954952043</v>
      </c>
    </row>
    <row r="39" spans="1:4">
      <c r="A39" s="10" t="s">
        <v>107</v>
      </c>
      <c r="B39" s="17">
        <f>B16+B24+B25</f>
        <v>13646061.418425445</v>
      </c>
      <c r="C39" s="17">
        <f>C16+C24+C25</f>
        <v>54584245.673701778</v>
      </c>
    </row>
    <row r="40" spans="1:4">
      <c r="A40" s="10" t="s">
        <v>108</v>
      </c>
      <c r="B40" s="17">
        <f>B28</f>
        <v>6362874.739590181</v>
      </c>
      <c r="C40" s="17">
        <f>C28</f>
        <v>25451498.958360724</v>
      </c>
    </row>
    <row r="41" spans="1:4">
      <c r="A41" s="10" t="s">
        <v>109</v>
      </c>
      <c r="B41" s="17">
        <f>B8</f>
        <v>2354868.4007777036</v>
      </c>
      <c r="C41" s="17">
        <f>C8</f>
        <v>9419473.6031108145</v>
      </c>
    </row>
    <row r="42" spans="1:4">
      <c r="A42" s="10" t="s">
        <v>110</v>
      </c>
      <c r="B42" s="17">
        <f>B20</f>
        <v>5692821.7190536829</v>
      </c>
      <c r="C42" s="17">
        <f>C20</f>
        <v>22771286.876214731</v>
      </c>
    </row>
    <row r="43" spans="1:4">
      <c r="A43" s="10" t="s">
        <v>111</v>
      </c>
      <c r="B43" s="17">
        <f>B12</f>
        <v>2329987.6042990577</v>
      </c>
      <c r="C43" s="17">
        <f>C12</f>
        <v>9319950.417196231</v>
      </c>
    </row>
    <row r="44" spans="1:4">
      <c r="A44" s="10" t="s">
        <v>114</v>
      </c>
      <c r="B44" s="80">
        <f>B10</f>
        <v>1895334.0348667416</v>
      </c>
      <c r="C44" s="80">
        <f>C10</f>
        <v>7581336.1394669665</v>
      </c>
    </row>
    <row r="45" spans="1:4">
      <c r="A45" s="145" t="s">
        <v>34</v>
      </c>
      <c r="B45" s="17">
        <f>SUM(B35:B44)</f>
        <v>113332775.49999999</v>
      </c>
      <c r="C45" s="17">
        <f>SUM(C35:C44)</f>
        <v>453331101.99999994</v>
      </c>
    </row>
    <row r="46" spans="1:4">
      <c r="C46" s="17"/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workbookViewId="0">
      <selection activeCell="F9" sqref="F9"/>
    </sheetView>
  </sheetViews>
  <sheetFormatPr defaultRowHeight="15"/>
  <cols>
    <col min="1" max="1" width="19.140625" style="10" customWidth="1"/>
    <col min="2" max="2" width="14.28515625" style="10" customWidth="1"/>
    <col min="3" max="3" width="13.28515625" style="10" bestFit="1" customWidth="1"/>
    <col min="4" max="4" width="15.42578125" style="10" customWidth="1"/>
    <col min="5" max="5" width="15" style="10" customWidth="1"/>
    <col min="6" max="6" width="14.28515625" style="10" bestFit="1" customWidth="1"/>
    <col min="7" max="7" width="13.5703125" style="10" bestFit="1" customWidth="1"/>
    <col min="8" max="8" width="14" style="10" customWidth="1"/>
    <col min="9" max="9" width="13.5703125" style="10" customWidth="1"/>
    <col min="10" max="10" width="14.5703125" style="10" bestFit="1" customWidth="1"/>
    <col min="11" max="11" width="13.42578125" style="10" bestFit="1" customWidth="1"/>
    <col min="12" max="12" width="3.140625" style="10" customWidth="1"/>
    <col min="13" max="13" width="10.140625" style="10" customWidth="1"/>
    <col min="14" max="16384" width="9.140625" style="10"/>
  </cols>
  <sheetData>
    <row r="1" spans="1:14" s="16" customFormat="1">
      <c r="A1" s="158" t="s">
        <v>122</v>
      </c>
      <c r="F1" s="130"/>
      <c r="G1" s="86"/>
      <c r="J1" s="69"/>
    </row>
    <row r="2" spans="1:14" ht="15.75">
      <c r="A2" s="10" t="s">
        <v>120</v>
      </c>
      <c r="B2" s="155"/>
      <c r="C2" s="86"/>
      <c r="D2" s="86"/>
      <c r="F2" s="156"/>
      <c r="G2" s="86"/>
      <c r="J2" s="128"/>
    </row>
    <row r="3" spans="1:14" ht="15.75">
      <c r="A3" s="108"/>
      <c r="B3" s="108"/>
      <c r="C3" s="86"/>
      <c r="D3" s="16" t="s">
        <v>112</v>
      </c>
      <c r="E3" s="16"/>
      <c r="F3" s="130"/>
      <c r="G3" s="86"/>
      <c r="J3" s="130"/>
    </row>
    <row r="4" spans="1:14">
      <c r="A4" s="16"/>
      <c r="B4" s="148" t="s">
        <v>85</v>
      </c>
      <c r="C4" s="148" t="s">
        <v>90</v>
      </c>
      <c r="D4" s="157">
        <v>453331102</v>
      </c>
      <c r="E4" s="16"/>
      <c r="F4" s="130"/>
      <c r="G4" s="86"/>
      <c r="J4" s="149"/>
      <c r="K4" s="2"/>
      <c r="L4" s="2"/>
      <c r="M4" s="2"/>
      <c r="N4" s="2"/>
    </row>
    <row r="5" spans="1:14">
      <c r="A5" s="16" t="s">
        <v>92</v>
      </c>
      <c r="B5" s="18">
        <v>9839561</v>
      </c>
      <c r="C5" s="131">
        <f>B5/$B$10</f>
        <v>1.9945146292438702E-2</v>
      </c>
      <c r="D5" s="129">
        <f>$D$4*C5</f>
        <v>9041755.1483024508</v>
      </c>
      <c r="E5" s="16"/>
      <c r="F5" s="130"/>
      <c r="G5" s="86"/>
      <c r="J5" s="150"/>
      <c r="K5" s="2"/>
      <c r="L5" s="2"/>
      <c r="M5" s="2"/>
      <c r="N5" s="2"/>
    </row>
    <row r="6" spans="1:14">
      <c r="A6" s="16" t="s">
        <v>82</v>
      </c>
      <c r="B6" s="18">
        <v>250000000</v>
      </c>
      <c r="C6" s="131">
        <f t="shared" ref="C6:C9" si="0">B6/$B$10</f>
        <v>0.50675904881423839</v>
      </c>
      <c r="D6" s="129">
        <f t="shared" ref="D6:D9" si="1">$D$4*C6</f>
        <v>229729638.04743049</v>
      </c>
      <c r="E6" s="16"/>
      <c r="F6" s="130"/>
      <c r="G6" s="86"/>
      <c r="J6" s="150"/>
      <c r="K6" s="2"/>
      <c r="L6" s="2"/>
      <c r="M6" s="2"/>
      <c r="N6" s="2"/>
    </row>
    <row r="7" spans="1:14">
      <c r="A7" s="16" t="s">
        <v>83</v>
      </c>
      <c r="B7" s="18">
        <v>103491541</v>
      </c>
      <c r="C7" s="131">
        <f t="shared" si="0"/>
        <v>0.20978109950991899</v>
      </c>
      <c r="D7" s="129">
        <f t="shared" si="1"/>
        <v>95100297.019603238</v>
      </c>
      <c r="E7" s="16"/>
      <c r="F7" s="130"/>
      <c r="G7" s="86"/>
      <c r="J7" s="150"/>
      <c r="K7" s="2"/>
      <c r="L7" s="2"/>
      <c r="M7" s="2"/>
      <c r="N7" s="2"/>
    </row>
    <row r="8" spans="1:14">
      <c r="A8" s="16" t="s">
        <v>93</v>
      </c>
      <c r="B8" s="97">
        <v>65000000</v>
      </c>
      <c r="C8" s="131">
        <f t="shared" si="0"/>
        <v>0.13175735269170197</v>
      </c>
      <c r="D8" s="129">
        <f t="shared" si="1"/>
        <v>59729705.892331921</v>
      </c>
      <c r="E8" s="16"/>
      <c r="F8" s="130"/>
      <c r="G8" s="86"/>
      <c r="J8" s="150"/>
      <c r="K8" s="2"/>
      <c r="L8" s="2"/>
      <c r="M8" s="2"/>
      <c r="N8" s="2"/>
    </row>
    <row r="9" spans="1:14">
      <c r="A9" s="132" t="s">
        <v>74</v>
      </c>
      <c r="B9" s="1">
        <v>65000000</v>
      </c>
      <c r="C9" s="133">
        <f t="shared" si="0"/>
        <v>0.13175735269170197</v>
      </c>
      <c r="D9" s="134">
        <f t="shared" si="1"/>
        <v>59729705.892331921</v>
      </c>
      <c r="E9" s="16"/>
      <c r="F9" s="130"/>
      <c r="G9" s="86"/>
      <c r="J9" s="150"/>
      <c r="K9" s="2"/>
      <c r="L9" s="2"/>
      <c r="M9" s="2"/>
      <c r="N9" s="2"/>
    </row>
    <row r="10" spans="1:14">
      <c r="A10" s="135" t="s">
        <v>94</v>
      </c>
      <c r="B10" s="136">
        <f t="shared" ref="B10" si="2">SUM(B5:B9)</f>
        <v>493331102</v>
      </c>
      <c r="C10" s="137">
        <f>SUM(C5:C9)</f>
        <v>1</v>
      </c>
      <c r="D10" s="86">
        <f>SUM(D5:D9)</f>
        <v>453331102</v>
      </c>
      <c r="E10" s="16"/>
      <c r="F10" s="130"/>
      <c r="G10" s="86"/>
      <c r="H10" s="18"/>
      <c r="J10" s="150"/>
      <c r="K10" s="2"/>
      <c r="L10" s="2"/>
      <c r="M10" s="2"/>
      <c r="N10" s="2"/>
    </row>
    <row r="11" spans="1:14">
      <c r="A11" s="138" t="s">
        <v>95</v>
      </c>
      <c r="B11" s="1">
        <v>496340138</v>
      </c>
      <c r="C11" s="86"/>
      <c r="D11" s="86"/>
      <c r="F11" s="86"/>
      <c r="G11" s="86"/>
      <c r="J11" s="150"/>
      <c r="K11" s="2"/>
      <c r="L11" s="2"/>
      <c r="M11" s="2"/>
      <c r="N11" s="2"/>
    </row>
    <row r="12" spans="1:14">
      <c r="A12" s="135" t="s">
        <v>96</v>
      </c>
      <c r="B12" s="18">
        <f>B11-B10</f>
        <v>3009036</v>
      </c>
      <c r="C12" s="86"/>
      <c r="D12" s="86"/>
      <c r="F12" s="86"/>
      <c r="G12" s="86"/>
      <c r="J12" s="2"/>
      <c r="K12" s="2"/>
      <c r="L12" s="2"/>
      <c r="M12" s="2"/>
      <c r="N12" s="2"/>
    </row>
    <row r="13" spans="1:14">
      <c r="A13" s="135"/>
      <c r="B13" s="16"/>
      <c r="C13" s="126"/>
      <c r="D13" s="79"/>
      <c r="E13" s="69"/>
      <c r="F13" s="78"/>
      <c r="G13" s="78"/>
      <c r="J13" s="2"/>
      <c r="K13" s="2"/>
      <c r="L13" s="2"/>
      <c r="M13" s="2"/>
      <c r="N13" s="2"/>
    </row>
    <row r="14" spans="1:14" hidden="1">
      <c r="A14" s="16" t="s">
        <v>97</v>
      </c>
      <c r="B14" s="105" t="s">
        <v>81</v>
      </c>
      <c r="C14" s="105" t="s">
        <v>82</v>
      </c>
      <c r="D14" s="105" t="s">
        <v>83</v>
      </c>
      <c r="E14" s="105" t="s">
        <v>84</v>
      </c>
      <c r="F14" s="107" t="s">
        <v>74</v>
      </c>
      <c r="J14" s="2"/>
      <c r="K14" s="2"/>
      <c r="L14" s="2"/>
      <c r="M14" s="2"/>
      <c r="N14" s="2"/>
    </row>
    <row r="15" spans="1:14" hidden="1">
      <c r="A15" s="2"/>
      <c r="B15" s="105" t="s">
        <v>4</v>
      </c>
      <c r="C15" s="105" t="s">
        <v>3</v>
      </c>
      <c r="D15" s="105" t="s">
        <v>3</v>
      </c>
      <c r="E15" s="105" t="s">
        <v>4</v>
      </c>
      <c r="F15" s="105" t="s">
        <v>3</v>
      </c>
      <c r="G15" s="105" t="s">
        <v>5</v>
      </c>
      <c r="H15" s="105" t="s">
        <v>5</v>
      </c>
      <c r="J15" s="2"/>
      <c r="K15" s="2"/>
      <c r="L15" s="2"/>
      <c r="M15" s="2"/>
      <c r="N15" s="2"/>
    </row>
    <row r="16" spans="1:14" hidden="1">
      <c r="A16" s="7" t="s">
        <v>6</v>
      </c>
      <c r="B16" s="104" t="s">
        <v>7</v>
      </c>
      <c r="C16" s="104" t="s">
        <v>0</v>
      </c>
      <c r="D16" s="104" t="s">
        <v>0</v>
      </c>
      <c r="E16" s="104" t="s">
        <v>7</v>
      </c>
      <c r="F16" s="104" t="s">
        <v>0</v>
      </c>
      <c r="G16" s="104" t="s">
        <v>0</v>
      </c>
      <c r="H16" s="1" t="s">
        <v>98</v>
      </c>
      <c r="J16" s="2"/>
      <c r="K16" s="2"/>
      <c r="L16" s="2"/>
      <c r="M16" s="2"/>
      <c r="N16" s="2"/>
    </row>
    <row r="17" spans="1:14" hidden="1">
      <c r="A17" s="10" t="s">
        <v>8</v>
      </c>
      <c r="B17" s="18">
        <f>VLOOKUP(A17,[7]Small!$A$9:$I$34,8,FALSE)</f>
        <v>0</v>
      </c>
      <c r="C17" s="18">
        <f>VLOOKUP(A17,'[7]IP Supp Combo'!$B$10:$K$35,9,FALSE)</f>
        <v>197100.72604873887</v>
      </c>
      <c r="D17" s="18">
        <f>VLOOKUP(A17,'[7]IP Supp Combo'!$B$10:$M$35,11,FALSE)</f>
        <v>67260.664027166305</v>
      </c>
      <c r="E17" s="18">
        <f>VLOOKUP(A17,[7]Mid!$A$9:$I$34,8,FALSE)</f>
        <v>0</v>
      </c>
      <c r="F17" s="18">
        <v>0</v>
      </c>
      <c r="G17" s="17">
        <f t="shared" ref="G17:G42" si="3">SUM(B17:F17)</f>
        <v>264361.39007590519</v>
      </c>
      <c r="H17" s="17">
        <f t="shared" ref="H17:H42" si="4">G17+G49</f>
        <v>10796240.720427465</v>
      </c>
      <c r="J17" s="2"/>
      <c r="K17" s="2"/>
      <c r="L17" s="2"/>
      <c r="M17" s="2"/>
      <c r="N17" s="2"/>
    </row>
    <row r="18" spans="1:14" hidden="1">
      <c r="A18" s="10" t="s">
        <v>9</v>
      </c>
      <c r="B18" s="18">
        <f>VLOOKUP(A18,[7]Small!$A$9:$I$34,8,FALSE)</f>
        <v>0</v>
      </c>
      <c r="C18" s="18">
        <f>VLOOKUP(A18,'[7]IP Supp Combo'!$B$10:$K$35,9,FALSE)</f>
        <v>869542.11066474044</v>
      </c>
      <c r="D18" s="18">
        <f>VLOOKUP(A18,'[7]IP Supp Combo'!$B$10:$M$35,11,FALSE)</f>
        <v>296731.42730297102</v>
      </c>
      <c r="E18" s="18">
        <f>VLOOKUP(A18,[7]Mid!$A$9:$I$34,8,FALSE)</f>
        <v>0</v>
      </c>
      <c r="F18" s="18">
        <v>0</v>
      </c>
      <c r="G18" s="17">
        <f t="shared" si="3"/>
        <v>1166273.5379677115</v>
      </c>
      <c r="H18" s="17">
        <f t="shared" si="4"/>
        <v>36181320.441557929</v>
      </c>
      <c r="J18" s="2"/>
      <c r="K18" s="2"/>
      <c r="L18" s="2"/>
      <c r="M18" s="2"/>
      <c r="N18" s="2"/>
    </row>
    <row r="19" spans="1:14" hidden="1">
      <c r="A19" s="10" t="s">
        <v>10</v>
      </c>
      <c r="B19" s="18">
        <f>VLOOKUP(A19,[7]Small!$A$9:$I$34,8,FALSE)</f>
        <v>108911</v>
      </c>
      <c r="C19" s="18">
        <f>VLOOKUP(A19,'[7]IP Supp Combo'!$B$10:$K$35,9,FALSE)</f>
        <v>139567.27288114131</v>
      </c>
      <c r="D19" s="18">
        <f>VLOOKUP(A19,'[7]IP Supp Combo'!$B$10:$M$35,11,FALSE)</f>
        <v>47627.361089096041</v>
      </c>
      <c r="E19" s="18">
        <f>VLOOKUP(A19,[7]Mid!$A$9:$I$34,8,FALSE)</f>
        <v>0</v>
      </c>
      <c r="F19" s="18">
        <v>0</v>
      </c>
      <c r="G19" s="17">
        <f t="shared" si="3"/>
        <v>296105.63397023734</v>
      </c>
      <c r="H19" s="17">
        <f t="shared" si="4"/>
        <v>9715579.2370810509</v>
      </c>
      <c r="J19" s="2"/>
      <c r="K19" s="2"/>
      <c r="L19" s="2"/>
      <c r="M19" s="2"/>
      <c r="N19" s="2"/>
    </row>
    <row r="20" spans="1:14" hidden="1">
      <c r="A20" s="8" t="s">
        <v>11</v>
      </c>
      <c r="B20" s="18">
        <f>VLOOKUP(A20,[7]Small!$A$9:$I$34,8,FALSE)</f>
        <v>0</v>
      </c>
      <c r="C20" s="18">
        <f>VLOOKUP(A20,'[7]IP Supp Combo'!$B$10:$K$35,9,FALSE)</f>
        <v>395750.65875576</v>
      </c>
      <c r="D20" s="18">
        <f>VLOOKUP(A20,'[7]IP Supp Combo'!$B$10:$M$35,11,FALSE)</f>
        <v>135049.99515079783</v>
      </c>
      <c r="E20" s="18">
        <f>VLOOKUP(A20,[7]Mid!$A$9:$I$34,8,FALSE)</f>
        <v>555592</v>
      </c>
      <c r="F20" s="18">
        <v>0</v>
      </c>
      <c r="G20" s="17">
        <f t="shared" si="3"/>
        <v>1086392.6539065577</v>
      </c>
      <c r="H20" s="17">
        <f t="shared" si="4"/>
        <v>30553289.085065745</v>
      </c>
      <c r="J20" s="2"/>
      <c r="K20" s="2"/>
      <c r="L20" s="2"/>
      <c r="M20" s="2"/>
      <c r="N20" s="2"/>
    </row>
    <row r="21" spans="1:14" hidden="1">
      <c r="A21" s="9" t="s">
        <v>12</v>
      </c>
      <c r="B21" s="18">
        <f>VLOOKUP(A21,[7]Small!$A$9:$I$34,8,FALSE)</f>
        <v>106272</v>
      </c>
      <c r="C21" s="18">
        <f>VLOOKUP(A21,'[7]IP Supp Combo'!$B$10:$K$35,9,FALSE)</f>
        <v>82108.154840856296</v>
      </c>
      <c r="D21" s="18">
        <f>VLOOKUP(A21,'[7]IP Supp Combo'!$B$10:$M$35,11,FALSE)</f>
        <v>28019.425028783244</v>
      </c>
      <c r="E21" s="18">
        <f>VLOOKUP(A21,[7]Mid!$A$9:$I$34,8,FALSE)</f>
        <v>0</v>
      </c>
      <c r="F21" s="18">
        <v>0</v>
      </c>
      <c r="G21" s="17">
        <f t="shared" si="3"/>
        <v>216399.57986963954</v>
      </c>
      <c r="H21" s="17">
        <f t="shared" si="4"/>
        <v>7797735.7193366056</v>
      </c>
      <c r="J21" s="2"/>
      <c r="K21" s="2"/>
      <c r="L21" s="2"/>
      <c r="M21" s="2"/>
      <c r="N21" s="2"/>
    </row>
    <row r="22" spans="1:14" hidden="1">
      <c r="A22" s="9" t="s">
        <v>13</v>
      </c>
      <c r="B22" s="18">
        <f>VLOOKUP(A22,[7]Small!$A$9:$I$34,8,FALSE)</f>
        <v>0</v>
      </c>
      <c r="C22" s="18">
        <f>VLOOKUP(A22,'[7]IP Supp Combo'!$B$10:$K$35,9,FALSE)</f>
        <v>52543.440581210278</v>
      </c>
      <c r="D22" s="18">
        <f>VLOOKUP(A22,'[7]IP Supp Combo'!$B$10:$M$35,11,FALSE)</f>
        <v>17930.460098306536</v>
      </c>
      <c r="E22" s="18">
        <f>VLOOKUP(A22,[7]Mid!$A$9:$I$34,8,FALSE)</f>
        <v>119630</v>
      </c>
      <c r="F22" s="18">
        <v>0</v>
      </c>
      <c r="G22" s="17">
        <f t="shared" si="3"/>
        <v>190103.90067951681</v>
      </c>
      <c r="H22" s="17">
        <f t="shared" si="4"/>
        <v>5752524.3523018882</v>
      </c>
      <c r="J22" s="2"/>
      <c r="K22" s="2"/>
      <c r="L22" s="2"/>
      <c r="M22" s="2"/>
      <c r="N22" s="2"/>
    </row>
    <row r="23" spans="1:14" hidden="1">
      <c r="A23" s="9" t="s">
        <v>14</v>
      </c>
      <c r="B23" s="18">
        <f>VLOOKUP(A23,[7]Small!$A$9:$I$34,8,FALSE)</f>
        <v>108911</v>
      </c>
      <c r="C23" s="18">
        <f>VLOOKUP(A23,'[7]IP Supp Combo'!$B$10:$K$35,9,FALSE)</f>
        <v>132637.46183891734</v>
      </c>
      <c r="D23" s="18">
        <f>VLOOKUP(A23,'[7]IP Supp Combo'!$B$10:$M$35,11,FALSE)</f>
        <v>45262.561620181266</v>
      </c>
      <c r="E23" s="18">
        <f>VLOOKUP(A23,[7]Mid!$A$9:$I$34,8,FALSE)</f>
        <v>0</v>
      </c>
      <c r="F23" s="18">
        <v>0</v>
      </c>
      <c r="G23" s="17">
        <f t="shared" si="3"/>
        <v>286811.02345909859</v>
      </c>
      <c r="H23" s="17">
        <f t="shared" si="4"/>
        <v>9606761.4406553302</v>
      </c>
      <c r="J23" s="2"/>
      <c r="K23" s="2"/>
      <c r="L23" s="2"/>
      <c r="M23" s="2"/>
      <c r="N23" s="2"/>
    </row>
    <row r="24" spans="1:14" hidden="1">
      <c r="A24" s="9" t="s">
        <v>15</v>
      </c>
      <c r="B24" s="18">
        <f>VLOOKUP(A24,[7]Small!$A$9:$I$34,8,FALSE)</f>
        <v>0</v>
      </c>
      <c r="C24" s="18">
        <f>VLOOKUP(A24,'[7]IP Supp Combo'!$B$10:$K$35,9,FALSE)</f>
        <v>1346345.978040938</v>
      </c>
      <c r="D24" s="18">
        <f>VLOOKUP(A24,'[7]IP Supp Combo'!$B$10:$M$35,11,FALSE)</f>
        <v>521933.588843679</v>
      </c>
      <c r="E24" s="18">
        <f>VLOOKUP(A24,[7]Mid!$A$9:$I$34,8,FALSE)</f>
        <v>0</v>
      </c>
      <c r="F24" s="18">
        <v>0</v>
      </c>
      <c r="G24" s="17">
        <f t="shared" si="3"/>
        <v>1868279.5668846171</v>
      </c>
      <c r="H24" s="17">
        <f t="shared" si="4"/>
        <v>51855161.668032512</v>
      </c>
      <c r="J24" s="2"/>
      <c r="K24" s="2"/>
      <c r="L24" s="2"/>
      <c r="M24" s="2"/>
      <c r="N24" s="2"/>
    </row>
    <row r="25" spans="1:14" hidden="1">
      <c r="A25" s="9" t="s">
        <v>16</v>
      </c>
      <c r="B25" s="18">
        <f>VLOOKUP(A25,[7]Small!$A$9:$I$34,8,FALSE)</f>
        <v>0</v>
      </c>
      <c r="C25" s="18">
        <f>VLOOKUP(A25,'[7]IP Supp Combo'!$B$10:$K$35,9,FALSE)</f>
        <v>276012.65553772595</v>
      </c>
      <c r="D25" s="18">
        <f>VLOOKUP(A25,'[7]IP Supp Combo'!$B$10:$M$35,11,FALSE)</f>
        <v>94189.37648549446</v>
      </c>
      <c r="E25" s="18">
        <f>VLOOKUP(A25,[7]Mid!$A$9:$I$34,8,FALSE)</f>
        <v>0</v>
      </c>
      <c r="F25" s="18">
        <v>0</v>
      </c>
      <c r="G25" s="17">
        <f t="shared" si="3"/>
        <v>370202.03202322044</v>
      </c>
      <c r="H25" s="17">
        <f t="shared" si="4"/>
        <v>16241914.159566252</v>
      </c>
      <c r="J25" s="2"/>
      <c r="K25" s="2"/>
      <c r="L25" s="2"/>
      <c r="M25" s="2"/>
      <c r="N25" s="2"/>
    </row>
    <row r="26" spans="1:14" hidden="1">
      <c r="A26" s="9" t="s">
        <v>17</v>
      </c>
      <c r="B26" s="18">
        <f>VLOOKUP(A26,[7]Small!$A$9:$I$34,8,FALSE)</f>
        <v>0</v>
      </c>
      <c r="C26" s="18">
        <f>VLOOKUP(A26,'[7]IP Supp Combo'!$B$10:$K$35,9,FALSE)</f>
        <v>97112.255153262653</v>
      </c>
      <c r="D26" s="18">
        <f>VLOOKUP(A26,'[7]IP Supp Combo'!$B$10:$M$35,11,FALSE)</f>
        <v>33139.577401500101</v>
      </c>
      <c r="E26" s="18">
        <f>VLOOKUP(A26,[7]Mid!$A$9:$I$34,8,FALSE)</f>
        <v>0</v>
      </c>
      <c r="F26" s="18">
        <v>0</v>
      </c>
      <c r="G26" s="17">
        <f t="shared" si="3"/>
        <v>130251.83255476275</v>
      </c>
      <c r="H26" s="17">
        <f t="shared" si="4"/>
        <v>4416043.4405332422</v>
      </c>
      <c r="J26" s="2"/>
      <c r="K26" s="2"/>
      <c r="L26" s="2"/>
      <c r="M26" s="2"/>
      <c r="N26" s="2"/>
    </row>
    <row r="27" spans="1:14" hidden="1">
      <c r="A27" s="9" t="s">
        <v>18</v>
      </c>
      <c r="B27" s="18">
        <f>VLOOKUP(A27,[7]Small!$A$9:$I$34,8,FALSE)</f>
        <v>0</v>
      </c>
      <c r="C27" s="18">
        <f>VLOOKUP(A27,'[7]IP Supp Combo'!$B$10:$K$35,9,FALSE)</f>
        <v>69629.479826084964</v>
      </c>
      <c r="D27" s="18">
        <f>VLOOKUP(A27,'[7]IP Supp Combo'!$B$10:$M$35,11,FALSE)</f>
        <v>23761.074567582091</v>
      </c>
      <c r="E27" s="18">
        <f>VLOOKUP(A27,[7]Mid!$A$9:$I$34,8,FALSE)</f>
        <v>0</v>
      </c>
      <c r="F27" s="18">
        <v>0</v>
      </c>
      <c r="G27" s="17">
        <f t="shared" si="3"/>
        <v>93390.554393667058</v>
      </c>
      <c r="H27" s="17">
        <f t="shared" si="4"/>
        <v>2664204.2692231066</v>
      </c>
      <c r="J27" s="2"/>
      <c r="K27" s="2"/>
      <c r="L27" s="2"/>
      <c r="M27" s="2"/>
      <c r="N27" s="2"/>
    </row>
    <row r="28" spans="1:14" hidden="1">
      <c r="A28" s="9" t="s">
        <v>19</v>
      </c>
      <c r="B28" s="18">
        <f>VLOOKUP(A28,[7]Small!$A$9:$I$34,8,FALSE)</f>
        <v>0</v>
      </c>
      <c r="C28" s="18">
        <f>VLOOKUP(A28,'[7]IP Supp Combo'!$B$10:$K$35,9,FALSE)</f>
        <v>238767.37405985093</v>
      </c>
      <c r="D28" s="18">
        <f>VLOOKUP(A28,'[7]IP Supp Combo'!$B$10:$M$35,11,FALSE)</f>
        <v>81479.416383870455</v>
      </c>
      <c r="E28" s="18">
        <f>VLOOKUP(A28,[7]Mid!$A$9:$I$34,8,FALSE)</f>
        <v>0</v>
      </c>
      <c r="F28" s="18">
        <v>0</v>
      </c>
      <c r="G28" s="17">
        <f t="shared" si="3"/>
        <v>320246.7904437214</v>
      </c>
      <c r="H28" s="17">
        <f t="shared" si="4"/>
        <v>12774355.981399907</v>
      </c>
      <c r="J28" s="2"/>
      <c r="K28" s="2"/>
      <c r="L28" s="2"/>
      <c r="M28" s="2"/>
      <c r="N28" s="2"/>
    </row>
    <row r="29" spans="1:14" hidden="1">
      <c r="A29" s="9" t="s">
        <v>20</v>
      </c>
      <c r="B29" s="18">
        <f>VLOOKUP(A29,[7]Small!$A$9:$I$34,8,FALSE)</f>
        <v>0</v>
      </c>
      <c r="C29" s="18">
        <f>VLOOKUP(A29,'[7]IP Supp Combo'!$B$10:$K$35,9,FALSE)</f>
        <v>224896.02193606933</v>
      </c>
      <c r="D29" s="18">
        <f>VLOOKUP(A29,'[7]IP Supp Combo'!$B$10:$M$35,11,FALSE)</f>
        <v>76745.814567662601</v>
      </c>
      <c r="E29" s="18">
        <f>VLOOKUP(A29,[7]Mid!$A$9:$I$34,8,FALSE)</f>
        <v>0</v>
      </c>
      <c r="F29" s="18">
        <v>0</v>
      </c>
      <c r="G29" s="17">
        <f t="shared" si="3"/>
        <v>301641.8365037319</v>
      </c>
      <c r="H29" s="17">
        <f t="shared" si="4"/>
        <v>9335675.7275455389</v>
      </c>
      <c r="J29" s="2"/>
      <c r="K29" s="2"/>
      <c r="L29" s="2"/>
      <c r="M29" s="2"/>
      <c r="N29" s="2"/>
    </row>
    <row r="30" spans="1:14" hidden="1">
      <c r="A30" s="9" t="s">
        <v>21</v>
      </c>
      <c r="B30" s="18">
        <f>VLOOKUP(A30,[7]Small!$A$9:$I$34,8,FALSE)</f>
        <v>0</v>
      </c>
      <c r="C30" s="18">
        <f>VLOOKUP(A30,'[7]IP Supp Combo'!$B$10:$K$35,9,FALSE)</f>
        <v>181202.53420164029</v>
      </c>
      <c r="D30" s="18">
        <f>VLOOKUP(A30,'[7]IP Supp Combo'!$B$10:$M$35,11,FALSE)</f>
        <v>61835.402731057671</v>
      </c>
      <c r="E30" s="18">
        <f>VLOOKUP(A30,[7]Mid!$A$9:$I$34,8,FALSE)</f>
        <v>0</v>
      </c>
      <c r="F30" s="18">
        <v>0</v>
      </c>
      <c r="G30" s="17">
        <f t="shared" si="3"/>
        <v>243037.93693269795</v>
      </c>
      <c r="H30" s="17">
        <f t="shared" si="4"/>
        <v>7435503.9384398749</v>
      </c>
      <c r="J30" s="2"/>
      <c r="K30" s="2"/>
      <c r="L30" s="2"/>
      <c r="M30" s="2"/>
      <c r="N30" s="2"/>
    </row>
    <row r="31" spans="1:14" hidden="1">
      <c r="A31" s="9" t="s">
        <v>22</v>
      </c>
      <c r="B31" s="18">
        <f>VLOOKUP(A31,[7]Small!$A$9:$I$34,8,FALSE)</f>
        <v>0</v>
      </c>
      <c r="C31" s="18">
        <f>VLOOKUP(A31,'[7]IP Supp Combo'!$B$10:$K$35,9,FALSE)</f>
        <v>215159.43294544923</v>
      </c>
      <c r="D31" s="18">
        <f>VLOOKUP(A31,'[7]IP Supp Combo'!$B$10:$M$35,11,FALSE)</f>
        <v>73423.201536258741</v>
      </c>
      <c r="E31" s="18">
        <f>VLOOKUP(A31,[7]Mid!$A$9:$I$34,8,FALSE)</f>
        <v>489871</v>
      </c>
      <c r="F31" s="18">
        <v>0</v>
      </c>
      <c r="G31" s="17">
        <f t="shared" si="3"/>
        <v>778453.63448170794</v>
      </c>
      <c r="H31" s="17">
        <f t="shared" si="4"/>
        <v>23549740.510696441</v>
      </c>
      <c r="J31" s="2"/>
      <c r="K31" s="2"/>
      <c r="L31" s="2"/>
      <c r="M31" s="2"/>
      <c r="N31" s="2"/>
    </row>
    <row r="32" spans="1:14" hidden="1">
      <c r="A32" s="9" t="s">
        <v>23</v>
      </c>
      <c r="B32" s="18">
        <f>VLOOKUP(A32,[7]Small!$A$9:$I$34,8,FALSE)</f>
        <v>20484</v>
      </c>
      <c r="C32" s="18">
        <f>VLOOKUP(A32,'[7]IP Supp Combo'!$B$10:$K$35,9,FALSE)</f>
        <v>15826.717704989365</v>
      </c>
      <c r="D32" s="18">
        <f>VLOOKUP(A32,'[7]IP Supp Combo'!$B$10:$M$35,11,FALSE)</f>
        <v>5400.8707301507447</v>
      </c>
      <c r="E32" s="18">
        <f>VLOOKUP(A32,[7]Mid!$A$9:$I$34,8,FALSE)</f>
        <v>0</v>
      </c>
      <c r="F32" s="18">
        <v>0</v>
      </c>
      <c r="G32" s="17">
        <f t="shared" si="3"/>
        <v>41711.588435140111</v>
      </c>
      <c r="H32" s="17">
        <f t="shared" si="4"/>
        <v>1255493.7196131309</v>
      </c>
      <c r="J32" s="2"/>
      <c r="K32" s="2"/>
      <c r="L32" s="2"/>
      <c r="M32" s="2"/>
      <c r="N32" s="2"/>
    </row>
    <row r="33" spans="1:14" hidden="1">
      <c r="A33" s="9" t="s">
        <v>24</v>
      </c>
      <c r="B33" s="18">
        <f>VLOOKUP(A33,[7]Small!$A$9:$I$34,8,FALSE)</f>
        <v>0</v>
      </c>
      <c r="C33" s="18">
        <f>VLOOKUP(A33,'[7]IP Supp Combo'!$B$10:$K$35,9,FALSE)</f>
        <v>309214.05223595735</v>
      </c>
      <c r="D33" s="18">
        <f>VLOOKUP(A33,'[7]IP Supp Combo'!$B$10:$M$35,11,FALSE)</f>
        <v>105519.36005947781</v>
      </c>
      <c r="E33" s="18">
        <f>VLOOKUP(A33,[7]Mid!$A$9:$I$34,8,FALSE)</f>
        <v>555592</v>
      </c>
      <c r="F33" s="18">
        <v>0</v>
      </c>
      <c r="G33" s="17">
        <f t="shared" si="3"/>
        <v>970325.41229543509</v>
      </c>
      <c r="H33" s="17">
        <f t="shared" si="4"/>
        <v>29516502.848472103</v>
      </c>
      <c r="J33" s="2"/>
      <c r="K33" s="2"/>
      <c r="L33" s="2"/>
      <c r="M33" s="2"/>
      <c r="N33" s="2"/>
    </row>
    <row r="34" spans="1:14" hidden="1">
      <c r="A34" s="9" t="s">
        <v>25</v>
      </c>
      <c r="B34" s="18">
        <f>VLOOKUP(A34,[7]Small!$A$9:$I$34,8,FALSE)</f>
        <v>0</v>
      </c>
      <c r="C34" s="18">
        <f>VLOOKUP(A34,'[7]IP Supp Combo'!$B$10:$K$35,9,FALSE)</f>
        <v>41334.58860495298</v>
      </c>
      <c r="D34" s="18">
        <f>VLOOKUP(A34,'[7]IP Supp Combo'!$B$10:$M$35,11,FALSE)</f>
        <v>14105.437014835734</v>
      </c>
      <c r="E34" s="18">
        <f>VLOOKUP(A34,[7]Mid!$A$9:$I$34,8,FALSE)</f>
        <v>0</v>
      </c>
      <c r="F34" s="18">
        <v>0</v>
      </c>
      <c r="G34" s="17">
        <f t="shared" si="3"/>
        <v>55440.025619788714</v>
      </c>
      <c r="H34" s="17">
        <f t="shared" si="4"/>
        <v>1785448.3966148323</v>
      </c>
      <c r="J34" s="2"/>
      <c r="K34" s="2"/>
      <c r="L34" s="2"/>
      <c r="M34" s="2"/>
      <c r="N34" s="2"/>
    </row>
    <row r="35" spans="1:14" hidden="1">
      <c r="A35" s="9" t="s">
        <v>26</v>
      </c>
      <c r="B35" s="18">
        <f>VLOOKUP(A35,[7]Small!$A$9:$I$34,8,FALSE)</f>
        <v>0</v>
      </c>
      <c r="C35" s="18">
        <f>VLOOKUP(A35,'[7]IP Supp Combo'!$B$10:$K$35,9,FALSE)</f>
        <v>987572.82937734562</v>
      </c>
      <c r="D35" s="18">
        <f>VLOOKUP(A35,'[7]IP Supp Combo'!$B$10:$M$35,11,FALSE)</f>
        <v>337009.43477337679</v>
      </c>
      <c r="E35" s="18">
        <f>VLOOKUP(A35,[7]Mid!$A$9:$I$34,8,FALSE)</f>
        <v>0</v>
      </c>
      <c r="F35" s="18">
        <v>0</v>
      </c>
      <c r="G35" s="17">
        <f t="shared" si="3"/>
        <v>1324582.2641507224</v>
      </c>
      <c r="H35" s="17">
        <f t="shared" si="4"/>
        <v>37569015.275476009</v>
      </c>
      <c r="J35" s="2"/>
      <c r="K35" s="2"/>
      <c r="L35" s="2"/>
      <c r="M35" s="2"/>
      <c r="N35" s="2"/>
    </row>
    <row r="36" spans="1:14" hidden="1">
      <c r="A36" s="9" t="s">
        <v>27</v>
      </c>
      <c r="B36" s="18">
        <f>VLOOKUP(A36,[7]Small!$A$9:$I$34,8,FALSE)</f>
        <v>0</v>
      </c>
      <c r="C36" s="18">
        <f>VLOOKUP(A36,'[7]IP Supp Combo'!$B$10:$K$35,9,FALSE)</f>
        <v>372011.43207917461</v>
      </c>
      <c r="D36" s="18">
        <f>VLOOKUP(A36,'[7]IP Supp Combo'!$B$10:$M$35,11,FALSE)</f>
        <v>126948.9790776063</v>
      </c>
      <c r="E36" s="18">
        <f>VLOOKUP(A36,[7]Mid!$A$9:$I$34,8,FALSE)</f>
        <v>0</v>
      </c>
      <c r="F36" s="18">
        <v>0</v>
      </c>
      <c r="G36" s="17">
        <f t="shared" si="3"/>
        <v>498960.4111567809</v>
      </c>
      <c r="H36" s="17">
        <f t="shared" si="4"/>
        <v>16267959.358703835</v>
      </c>
      <c r="J36" s="2"/>
      <c r="K36" s="2"/>
      <c r="L36" s="2"/>
      <c r="M36" s="2"/>
      <c r="N36" s="2"/>
    </row>
    <row r="37" spans="1:14" hidden="1">
      <c r="A37" s="9" t="s">
        <v>28</v>
      </c>
      <c r="B37" s="18">
        <f>VLOOKUP(A37,[7]Small!$A$9:$I$34,8,FALSE)</f>
        <v>0</v>
      </c>
      <c r="C37" s="18">
        <f>VLOOKUP(A37,'[7]IP Supp Combo'!$B$10:$K$35,9,FALSE)</f>
        <v>483589.28281227668</v>
      </c>
      <c r="D37" s="18">
        <f>VLOOKUP(A37,'[7]IP Supp Combo'!$B$10:$M$35,11,FALSE)</f>
        <v>165024.94399909882</v>
      </c>
      <c r="E37" s="18">
        <f>VLOOKUP(A37,[7]Mid!$A$9:$I$34,8,FALSE)</f>
        <v>0</v>
      </c>
      <c r="F37" s="18">
        <v>0</v>
      </c>
      <c r="G37" s="17">
        <f t="shared" si="3"/>
        <v>648614.22681137547</v>
      </c>
      <c r="H37" s="17">
        <f t="shared" si="4"/>
        <v>26410146.424675584</v>
      </c>
      <c r="J37" s="2"/>
      <c r="K37" s="2"/>
      <c r="L37" s="2"/>
      <c r="M37" s="2"/>
      <c r="N37" s="2"/>
    </row>
    <row r="38" spans="1:14" hidden="1">
      <c r="A38" s="9" t="s">
        <v>29</v>
      </c>
      <c r="B38" s="18">
        <f>VLOOKUP(A38,[7]Small!$A$9:$I$34,8,FALSE)</f>
        <v>0</v>
      </c>
      <c r="C38" s="18">
        <f>VLOOKUP(A38,'[7]IP Supp Combo'!$B$10:$K$35,9,FALSE)</f>
        <v>16943.881938918286</v>
      </c>
      <c r="D38" s="18">
        <f>VLOOKUP(A38,'[7]IP Supp Combo'!$B$10:$M$35,11,FALSE)</f>
        <v>5782.1032588573044</v>
      </c>
      <c r="E38" s="18">
        <f>VLOOKUP(A38,[7]Mid!$A$9:$I$34,8,FALSE)</f>
        <v>0</v>
      </c>
      <c r="F38" s="18">
        <v>0</v>
      </c>
      <c r="G38" s="17">
        <f t="shared" si="3"/>
        <v>22725.98519777559</v>
      </c>
      <c r="H38" s="17">
        <f t="shared" si="4"/>
        <v>792389.67249064357</v>
      </c>
      <c r="J38" s="2"/>
      <c r="K38" s="2"/>
      <c r="L38" s="2"/>
      <c r="M38" s="2"/>
      <c r="N38" s="2"/>
    </row>
    <row r="39" spans="1:14" hidden="1">
      <c r="A39" s="9" t="s">
        <v>30</v>
      </c>
      <c r="B39" s="18">
        <f>VLOOKUP(A39,[7]Small!$A$9:$I$34,8,FALSE)</f>
        <v>0</v>
      </c>
      <c r="C39" s="18">
        <f>VLOOKUP(A39,'[7]IP Supp Combo'!$B$10:$K$35,9,FALSE)</f>
        <v>273357.4593171326</v>
      </c>
      <c r="D39" s="18">
        <f>VLOOKUP(A39,'[7]IP Supp Combo'!$B$10:$M$35,11,FALSE)</f>
        <v>93283.290219351664</v>
      </c>
      <c r="E39" s="18">
        <f>VLOOKUP(A39,[7]Mid!$A$9:$I$34,8,FALSE)</f>
        <v>555592</v>
      </c>
      <c r="F39" s="18">
        <v>0</v>
      </c>
      <c r="G39" s="17">
        <f t="shared" si="3"/>
        <v>922232.74953648425</v>
      </c>
      <c r="H39" s="17">
        <f t="shared" si="4"/>
        <v>26373731.707897209</v>
      </c>
      <c r="J39" s="2"/>
      <c r="K39" s="2"/>
      <c r="L39" s="2"/>
      <c r="M39" s="2"/>
      <c r="N39" s="2"/>
    </row>
    <row r="40" spans="1:14" hidden="1">
      <c r="A40" s="10" t="s">
        <v>31</v>
      </c>
      <c r="B40" s="18">
        <f>VLOOKUP(A40,[7]Small!$A$9:$I$34,8,FALSE)</f>
        <v>0</v>
      </c>
      <c r="C40" s="18">
        <f>VLOOKUP(A40,'[7]IP Supp Combo'!$B$10:$K$35,9,FALSE)</f>
        <v>344268.32392781798</v>
      </c>
      <c r="D40" s="18">
        <f>VLOOKUP(A40,'[7]IP Supp Combo'!$B$10:$M$35,11,FALSE)</f>
        <v>117481.63761293655</v>
      </c>
      <c r="E40" s="18">
        <f>VLOOKUP(A40,[7]Mid!$A$9:$I$34,8,FALSE)</f>
        <v>0</v>
      </c>
      <c r="F40" s="18">
        <v>0</v>
      </c>
      <c r="G40" s="17">
        <f t="shared" si="3"/>
        <v>461749.96154075454</v>
      </c>
      <c r="H40" s="17">
        <f t="shared" si="4"/>
        <v>14585464.654455947</v>
      </c>
      <c r="J40" s="2"/>
      <c r="K40" s="2"/>
      <c r="L40" s="2"/>
      <c r="M40" s="2"/>
      <c r="N40" s="2"/>
    </row>
    <row r="41" spans="1:14" hidden="1">
      <c r="A41" s="10" t="s">
        <v>32</v>
      </c>
      <c r="B41" s="18">
        <f>VLOOKUP(A41,[7]Small!$A$9:$I$34,8,FALSE)</f>
        <v>0</v>
      </c>
      <c r="C41" s="18">
        <f>VLOOKUP(A41,'[7]IP Supp Combo'!$B$10:$K$35,9,FALSE)</f>
        <v>46069.317164578999</v>
      </c>
      <c r="D41" s="18">
        <f>VLOOKUP(A41,'[7]IP Supp Combo'!$B$10:$M$35,11,FALSE)</f>
        <v>15721.164127023467</v>
      </c>
      <c r="E41" s="18">
        <f>VLOOKUP(A41,[7]Mid!$A$9:$I$34,8,FALSE)</f>
        <v>0</v>
      </c>
      <c r="F41" s="18">
        <v>0</v>
      </c>
      <c r="G41" s="17">
        <f t="shared" si="3"/>
        <v>61790.481291602468</v>
      </c>
      <c r="H41" s="17">
        <f t="shared" si="4"/>
        <v>2146731.8073380697</v>
      </c>
      <c r="J41" s="2"/>
      <c r="K41" s="2"/>
      <c r="L41" s="2"/>
      <c r="M41" s="2"/>
      <c r="N41" s="2"/>
    </row>
    <row r="42" spans="1:14" hidden="1">
      <c r="A42" s="7" t="s">
        <v>33</v>
      </c>
      <c r="B42" s="1">
        <f>VLOOKUP(A42,[7]Small!$A$9:$I$34,8,FALSE)</f>
        <v>0</v>
      </c>
      <c r="C42" s="1">
        <f>VLOOKUP(A42,'[7]IP Supp Combo'!$B$10:$K$35,9,FALSE)</f>
        <v>1346345.978040938</v>
      </c>
      <c r="D42" s="1">
        <f>VLOOKUP(A42,'[7]IP Supp Combo'!$B$10:$M$35,11,FALSE)</f>
        <v>1033569.7012715426</v>
      </c>
      <c r="E42" s="1">
        <f>VLOOKUP(A42,[7]Mid!$A$9:$I$34,8,FALSE)</f>
        <v>0</v>
      </c>
      <c r="F42" s="1">
        <v>0</v>
      </c>
      <c r="G42" s="80">
        <f t="shared" si="3"/>
        <v>2379915.6793124806</v>
      </c>
      <c r="H42" s="80">
        <f t="shared" si="4"/>
        <v>72952168.131894901</v>
      </c>
      <c r="J42" s="2"/>
      <c r="K42" s="2"/>
      <c r="L42" s="2"/>
      <c r="M42" s="2"/>
      <c r="N42" s="2"/>
    </row>
    <row r="43" spans="1:14" hidden="1">
      <c r="A43" s="16" t="s">
        <v>34</v>
      </c>
      <c r="B43" s="106">
        <f t="shared" ref="B43:G43" si="5">SUM(B17:B42)</f>
        <v>344578</v>
      </c>
      <c r="C43" s="106">
        <f t="shared" si="5"/>
        <v>8754909.4205164686</v>
      </c>
      <c r="D43" s="106">
        <f t="shared" si="5"/>
        <v>3624236.2689786656</v>
      </c>
      <c r="E43" s="106">
        <f t="shared" si="5"/>
        <v>2276277</v>
      </c>
      <c r="F43" s="106">
        <f t="shared" si="5"/>
        <v>0</v>
      </c>
      <c r="G43" s="106">
        <f t="shared" si="5"/>
        <v>15000000.689495133</v>
      </c>
      <c r="H43" s="17">
        <f>SUM(H17:H42)</f>
        <v>468331102.68949521</v>
      </c>
      <c r="J43" s="2"/>
      <c r="K43" s="2"/>
      <c r="L43" s="2"/>
      <c r="M43" s="2"/>
      <c r="N43" s="2"/>
    </row>
    <row r="44" spans="1:14" hidden="1">
      <c r="A44" s="135"/>
      <c r="B44" s="16"/>
      <c r="C44" s="126"/>
      <c r="D44" s="79"/>
      <c r="E44" s="69"/>
      <c r="F44" s="78"/>
      <c r="G44" s="78"/>
      <c r="J44" s="2"/>
      <c r="K44" s="2"/>
      <c r="L44" s="2"/>
      <c r="M44" s="2"/>
      <c r="N44" s="2"/>
    </row>
    <row r="45" spans="1:14" ht="15.75">
      <c r="A45" s="16" t="s">
        <v>91</v>
      </c>
      <c r="B45" s="162"/>
      <c r="C45" s="162"/>
      <c r="D45" s="162"/>
      <c r="E45" s="162"/>
      <c r="F45" s="162"/>
      <c r="G45" s="162"/>
      <c r="J45" s="151"/>
      <c r="K45" s="2"/>
      <c r="L45" s="2"/>
      <c r="M45" s="2"/>
      <c r="N45" s="2"/>
    </row>
    <row r="46" spans="1:14">
      <c r="A46" s="16" t="s">
        <v>99</v>
      </c>
      <c r="B46" s="105" t="s">
        <v>81</v>
      </c>
      <c r="C46" s="105" t="s">
        <v>82</v>
      </c>
      <c r="D46" s="105" t="s">
        <v>83</v>
      </c>
      <c r="E46" s="105" t="s">
        <v>84</v>
      </c>
      <c r="F46" s="107" t="s">
        <v>74</v>
      </c>
      <c r="G46" s="139" t="s">
        <v>89</v>
      </c>
      <c r="H46" s="139" t="s">
        <v>89</v>
      </c>
      <c r="J46" s="152"/>
      <c r="K46" s="2"/>
      <c r="L46" s="2"/>
      <c r="M46" s="163"/>
      <c r="N46" s="163"/>
    </row>
    <row r="47" spans="1:14">
      <c r="A47" s="2"/>
      <c r="B47" s="105" t="s">
        <v>4</v>
      </c>
      <c r="C47" s="105" t="s">
        <v>3</v>
      </c>
      <c r="D47" s="105" t="s">
        <v>3</v>
      </c>
      <c r="E47" s="105" t="s">
        <v>4</v>
      </c>
      <c r="F47" s="105" t="s">
        <v>3</v>
      </c>
      <c r="G47" s="69" t="s">
        <v>5</v>
      </c>
      <c r="H47" s="69" t="s">
        <v>117</v>
      </c>
      <c r="J47" s="152"/>
      <c r="K47" s="2"/>
      <c r="L47" s="2"/>
      <c r="M47" s="77"/>
      <c r="N47" s="2"/>
    </row>
    <row r="48" spans="1:14">
      <c r="A48" s="7" t="s">
        <v>6</v>
      </c>
      <c r="B48" s="104" t="s">
        <v>7</v>
      </c>
      <c r="C48" s="104" t="s">
        <v>0</v>
      </c>
      <c r="D48" s="104" t="s">
        <v>0</v>
      </c>
      <c r="E48" s="104" t="s">
        <v>7</v>
      </c>
      <c r="F48" s="104" t="s">
        <v>0</v>
      </c>
      <c r="G48" s="140" t="s">
        <v>0</v>
      </c>
      <c r="H48" s="141" t="s">
        <v>0</v>
      </c>
      <c r="J48" s="152"/>
      <c r="K48" s="139"/>
      <c r="L48" s="2"/>
      <c r="M48" s="77"/>
      <c r="N48" s="2"/>
    </row>
    <row r="49" spans="1:14">
      <c r="A49" s="10" t="s">
        <v>8</v>
      </c>
      <c r="B49" s="18">
        <f>VLOOKUP(A49,Small!$A$13:$G$38,7,FALSE)</f>
        <v>0</v>
      </c>
      <c r="C49" s="18">
        <f>VLOOKUP(A49,'IP Supp Combo'!$B$9:$I$34,7,FALSE)</f>
        <v>6077037.0202351445</v>
      </c>
      <c r="D49" s="18">
        <f>VLOOKUP(A49,'IP Supp Combo'!$B$9:$I$34,8,FALSE)</f>
        <v>2167523.2552867685</v>
      </c>
      <c r="E49" s="143">
        <f>VLOOKUP(A49,Mid!$A$10:$G$35,7,FALSE)</f>
        <v>0</v>
      </c>
      <c r="F49" s="18">
        <f>VLOOKUP(A49,'OP Supp'!$A$9:$E$34,5,FALSE)</f>
        <v>2287319.0548296459</v>
      </c>
      <c r="G49" s="17">
        <f t="shared" ref="G49:G74" si="6">SUM(B49:F49)</f>
        <v>10531879.330351559</v>
      </c>
      <c r="H49" s="142">
        <f>G49/4</f>
        <v>2632969.8325878899</v>
      </c>
      <c r="J49" s="123"/>
      <c r="K49" s="123"/>
      <c r="L49" s="2"/>
      <c r="M49" s="153"/>
      <c r="N49" s="153"/>
    </row>
    <row r="50" spans="1:14">
      <c r="A50" s="10" t="s">
        <v>9</v>
      </c>
      <c r="B50" s="18">
        <f>VLOOKUP(A50,Small!$A$13:$G$38,7,FALSE)</f>
        <v>0</v>
      </c>
      <c r="C50" s="18">
        <f>VLOOKUP(A50,'IP Supp Combo'!$B$9:$I$34,7,FALSE)</f>
        <v>22421171.144919395</v>
      </c>
      <c r="D50" s="18">
        <f>VLOOKUP(A50,'IP Supp Combo'!$B$9:$I$34,8,FALSE)</f>
        <v>7997056.740901175</v>
      </c>
      <c r="E50" s="97">
        <f>VLOOKUP(A50,Mid!$A$10:$G$35,7,FALSE)</f>
        <v>0</v>
      </c>
      <c r="F50" s="18">
        <f>VLOOKUP(A50,'OP Supp'!$A$9:$E$34,5,FALSE)</f>
        <v>4596819.0177696459</v>
      </c>
      <c r="G50" s="17">
        <f t="shared" si="6"/>
        <v>35015046.903590217</v>
      </c>
      <c r="H50" s="123">
        <f t="shared" ref="H50:H74" si="7">G50/4</f>
        <v>8753761.7258975543</v>
      </c>
      <c r="J50" s="123"/>
      <c r="K50" s="123"/>
      <c r="L50" s="2"/>
      <c r="M50" s="153"/>
      <c r="N50" s="153"/>
    </row>
    <row r="51" spans="1:14">
      <c r="A51" s="10" t="s">
        <v>10</v>
      </c>
      <c r="B51" s="18">
        <f>VLOOKUP(A51,Small!$A$13:$G$38,7,FALSE)</f>
        <v>3013918.3827674836</v>
      </c>
      <c r="C51" s="18">
        <f>VLOOKUP(A51,'IP Supp Combo'!$B$9:$I$34,7,FALSE)</f>
        <v>3740498.8372537741</v>
      </c>
      <c r="D51" s="18">
        <f>VLOOKUP(A51,'IP Supp Combo'!$B$9:$I$34,8,FALSE)</f>
        <v>1334140.0075602892</v>
      </c>
      <c r="E51" s="97">
        <f>VLOOKUP(A51,Mid!$A$10:$G$35,7,FALSE)</f>
        <v>0</v>
      </c>
      <c r="F51" s="18">
        <f>VLOOKUP(A51,'OP Supp'!$A$9:$E$34,5,FALSE)</f>
        <v>1330916.3755292674</v>
      </c>
      <c r="G51" s="17">
        <f t="shared" si="6"/>
        <v>9419473.6031108145</v>
      </c>
      <c r="H51" s="123">
        <f t="shared" si="7"/>
        <v>2354868.4007777036</v>
      </c>
      <c r="J51" s="123"/>
      <c r="K51" s="123"/>
      <c r="L51" s="2"/>
      <c r="M51" s="153"/>
      <c r="N51" s="153"/>
    </row>
    <row r="52" spans="1:14">
      <c r="A52" s="8" t="s">
        <v>11</v>
      </c>
      <c r="B52" s="18">
        <f>VLOOKUP(A52,Small!$A$13:$G$38,7,FALSE)</f>
        <v>0</v>
      </c>
      <c r="C52" s="18">
        <f>VLOOKUP(A52,'IP Supp Combo'!$B$9:$I$34,7,FALSE)</f>
        <v>9087876.9139212389</v>
      </c>
      <c r="D52" s="18">
        <f>VLOOKUP(A52,'IP Supp Combo'!$B$9:$I$34,8,FALSE)</f>
        <v>3241412.6302863685</v>
      </c>
      <c r="E52" s="97">
        <f>VLOOKUP(A52,Mid!$A$10:$G$35,7,FALSE)</f>
        <v>14541325.489833502</v>
      </c>
      <c r="F52" s="18">
        <f>VLOOKUP(A52,'OP Supp'!$A$9:$E$34,5,FALSE)</f>
        <v>2596281.3971180799</v>
      </c>
      <c r="G52" s="17">
        <f t="shared" si="6"/>
        <v>29466896.431159187</v>
      </c>
      <c r="H52" s="123">
        <f t="shared" si="7"/>
        <v>7366724.1077897968</v>
      </c>
      <c r="J52" s="123"/>
      <c r="K52" s="123"/>
      <c r="L52" s="2"/>
      <c r="M52" s="153"/>
      <c r="N52" s="153"/>
    </row>
    <row r="53" spans="1:14">
      <c r="A53" s="9" t="s">
        <v>12</v>
      </c>
      <c r="B53" s="18">
        <f>VLOOKUP(A53,Small!$A$13:$G$38,7,FALSE)</f>
        <v>3013918.3827674836</v>
      </c>
      <c r="C53" s="18">
        <f>VLOOKUP(A53,'IP Supp Combo'!$B$9:$I$34,7,FALSE)</f>
        <v>2585993.3430019561</v>
      </c>
      <c r="D53" s="18">
        <f>VLOOKUP(A53,'IP Supp Combo'!$B$9:$I$34,8,FALSE)</f>
        <v>922357.50585515215</v>
      </c>
      <c r="E53" s="97">
        <f>VLOOKUP(A53,Mid!$A$10:$G$35,7,FALSE)</f>
        <v>0</v>
      </c>
      <c r="F53" s="18">
        <f>VLOOKUP(A53,'OP Supp'!$A$9:$E$34,5,FALSE)</f>
        <v>1059066.9078423746</v>
      </c>
      <c r="G53" s="17">
        <f t="shared" si="6"/>
        <v>7581336.1394669665</v>
      </c>
      <c r="H53" s="123">
        <f t="shared" si="7"/>
        <v>1895334.0348667416</v>
      </c>
      <c r="J53" s="123"/>
      <c r="K53" s="123"/>
      <c r="L53" s="2"/>
      <c r="M53" s="153"/>
      <c r="N53" s="153"/>
    </row>
    <row r="54" spans="1:14">
      <c r="A54" s="9" t="s">
        <v>13</v>
      </c>
      <c r="B54" s="18">
        <f>VLOOKUP(A54,Small!$A$13:$G$38,7,FALSE)</f>
        <v>0</v>
      </c>
      <c r="C54" s="18">
        <f>VLOOKUP(A54,'IP Supp Combo'!$B$9:$I$34,7,FALSE)</f>
        <v>1379744.1142789556</v>
      </c>
      <c r="D54" s="18">
        <f>VLOOKUP(A54,'IP Supp Combo'!$B$9:$I$34,8,FALSE)</f>
        <v>492119.34106811858</v>
      </c>
      <c r="E54" s="97">
        <f>VLOOKUP(A54,Mid!$A$10:$G$35,7,FALSE)</f>
        <v>3152570.3975462751</v>
      </c>
      <c r="F54" s="18">
        <f>VLOOKUP(A54,'OP Supp'!$A$9:$E$34,5,FALSE)</f>
        <v>537986.59872902266</v>
      </c>
      <c r="G54" s="17">
        <f t="shared" si="6"/>
        <v>5562420.4516223716</v>
      </c>
      <c r="H54" s="123">
        <f t="shared" si="7"/>
        <v>1390605.1129055929</v>
      </c>
      <c r="J54" s="123"/>
      <c r="K54" s="123"/>
      <c r="L54" s="2"/>
      <c r="M54" s="153"/>
      <c r="N54" s="153"/>
    </row>
    <row r="55" spans="1:14">
      <c r="A55" s="9" t="s">
        <v>14</v>
      </c>
      <c r="B55" s="18">
        <f>VLOOKUP(A55,Small!$A$13:$G$38,7,FALSE)</f>
        <v>3013918.3827674836</v>
      </c>
      <c r="C55" s="18">
        <f>VLOOKUP(A55,'IP Supp Combo'!$B$9:$I$34,7,FALSE)</f>
        <v>3693435.1384137673</v>
      </c>
      <c r="D55" s="18">
        <f>VLOOKUP(A55,'IP Supp Combo'!$B$9:$I$34,8,FALSE)</f>
        <v>1317353.5931652721</v>
      </c>
      <c r="E55" s="97">
        <f>VLOOKUP(A55,Mid!$A$10:$G$35,7,FALSE)</f>
        <v>0</v>
      </c>
      <c r="F55" s="18">
        <f>VLOOKUP(A55,'OP Supp'!$A$9:$E$34,5,FALSE)</f>
        <v>1295243.3028497086</v>
      </c>
      <c r="G55" s="17">
        <f t="shared" si="6"/>
        <v>9319950.417196231</v>
      </c>
      <c r="H55" s="123">
        <f t="shared" si="7"/>
        <v>2329987.6042990577</v>
      </c>
      <c r="J55" s="123"/>
      <c r="K55" s="123"/>
      <c r="L55" s="2"/>
      <c r="M55" s="153"/>
      <c r="N55" s="153"/>
    </row>
    <row r="56" spans="1:14">
      <c r="A56" s="9" t="s">
        <v>15</v>
      </c>
      <c r="B56" s="18">
        <f>VLOOKUP(A56,Small!$A$13:$G$38,7,FALSE)</f>
        <v>0</v>
      </c>
      <c r="C56" s="18">
        <f>VLOOKUP(A56,'IP Supp Combo'!$B$9:$I$34,7,FALSE)</f>
        <v>32602348.360485539</v>
      </c>
      <c r="D56" s="18">
        <f>VLOOKUP(A56,'IP Supp Combo'!$B$9:$I$34,8,FALSE)</f>
        <v>11628421.550339431</v>
      </c>
      <c r="E56" s="97">
        <f>VLOOKUP(A56,Mid!$A$10:$G$35,7,FALSE)</f>
        <v>0</v>
      </c>
      <c r="F56" s="18">
        <f>VLOOKUP(A56,'OP Supp'!$A$9:$E$34,5,FALSE)</f>
        <v>5756112.1903229263</v>
      </c>
      <c r="G56" s="17">
        <f t="shared" si="6"/>
        <v>49986882.101147898</v>
      </c>
      <c r="H56" s="123">
        <f t="shared" si="7"/>
        <v>12496720.525286974</v>
      </c>
      <c r="J56" s="123"/>
      <c r="K56" s="123"/>
      <c r="L56" s="2"/>
      <c r="M56" s="153"/>
      <c r="N56" s="153"/>
    </row>
    <row r="57" spans="1:14">
      <c r="A57" s="9" t="s">
        <v>16</v>
      </c>
      <c r="B57" s="18">
        <f>VLOOKUP(A57,Small!$A$13:$G$38,7,FALSE)</f>
        <v>0</v>
      </c>
      <c r="C57" s="18">
        <f>VLOOKUP(A57,'IP Supp Combo'!$B$9:$I$34,7,FALSE)</f>
        <v>9114972.6655568611</v>
      </c>
      <c r="D57" s="18">
        <f>VLOOKUP(A57,'IP Supp Combo'!$B$9:$I$34,8,FALSE)</f>
        <v>3251076.9900054433</v>
      </c>
      <c r="E57" s="97">
        <f>VLOOKUP(A57,Mid!$A$10:$G$35,7,FALSE)</f>
        <v>0</v>
      </c>
      <c r="F57" s="18">
        <f>VLOOKUP(A57,'OP Supp'!$A$9:$E$34,5,FALSE)</f>
        <v>3505662.4719807259</v>
      </c>
      <c r="G57" s="17">
        <f t="shared" si="6"/>
        <v>15871712.12754303</v>
      </c>
      <c r="H57" s="123">
        <f t="shared" si="7"/>
        <v>3967928.0318857576</v>
      </c>
      <c r="J57" s="123"/>
      <c r="K57" s="123"/>
      <c r="L57" s="2"/>
      <c r="M57" s="153"/>
      <c r="N57" s="153"/>
    </row>
    <row r="58" spans="1:14">
      <c r="A58" s="9" t="s">
        <v>17</v>
      </c>
      <c r="B58" s="18">
        <f>VLOOKUP(A58,Small!$A$13:$G$38,7,FALSE)</f>
        <v>0</v>
      </c>
      <c r="C58" s="18">
        <f>VLOOKUP(A58,'IP Supp Combo'!$B$9:$I$34,7,FALSE)</f>
        <v>2412062.6255617505</v>
      </c>
      <c r="D58" s="18">
        <f>VLOOKUP(A58,'IP Supp Combo'!$B$9:$I$34,8,FALSE)</f>
        <v>860320.8795181663</v>
      </c>
      <c r="E58" s="97">
        <f>VLOOKUP(A58,Mid!$A$10:$G$35,7,FALSE)</f>
        <v>0</v>
      </c>
      <c r="F58" s="18">
        <f>VLOOKUP(A58,'OP Supp'!$A$9:$E$34,5,FALSE)</f>
        <v>1013408.1028985622</v>
      </c>
      <c r="G58" s="17">
        <f t="shared" si="6"/>
        <v>4285791.607978479</v>
      </c>
      <c r="H58" s="123">
        <f t="shared" si="7"/>
        <v>1071447.9019946198</v>
      </c>
      <c r="J58" s="123"/>
      <c r="K58" s="123"/>
      <c r="L58" s="2"/>
      <c r="M58" s="153"/>
      <c r="N58" s="153"/>
    </row>
    <row r="59" spans="1:14">
      <c r="A59" s="9" t="s">
        <v>18</v>
      </c>
      <c r="B59" s="18">
        <f>VLOOKUP(A59,Small!$A$13:$G$38,7,FALSE)</f>
        <v>0</v>
      </c>
      <c r="C59" s="18">
        <f>VLOOKUP(A59,'IP Supp Combo'!$B$9:$I$34,7,FALSE)</f>
        <v>1655224.9774620507</v>
      </c>
      <c r="D59" s="18">
        <f>VLOOKUP(A59,'IP Supp Combo'!$B$9:$I$34,8,FALSE)</f>
        <v>590376.30006764201</v>
      </c>
      <c r="E59" s="97">
        <f>VLOOKUP(A59,Mid!$A$10:$G$35,7,FALSE)</f>
        <v>0</v>
      </c>
      <c r="F59" s="18">
        <f>VLOOKUP(A59,'OP Supp'!$A$9:$E$34,5,FALSE)</f>
        <v>325212.43729974661</v>
      </c>
      <c r="G59" s="17">
        <f t="shared" si="6"/>
        <v>2570813.7148294393</v>
      </c>
      <c r="H59" s="123">
        <f t="shared" si="7"/>
        <v>642703.42870735982</v>
      </c>
      <c r="J59" s="123"/>
      <c r="K59" s="123"/>
      <c r="L59" s="2"/>
      <c r="M59" s="153"/>
      <c r="N59" s="153"/>
    </row>
    <row r="60" spans="1:14">
      <c r="A60" s="9" t="s">
        <v>19</v>
      </c>
      <c r="B60" s="18">
        <f>VLOOKUP(A60,Small!$A$13:$G$38,7,FALSE)</f>
        <v>0</v>
      </c>
      <c r="C60" s="18">
        <f>VLOOKUP(A60,'IP Supp Combo'!$B$9:$I$34,7,FALSE)</f>
        <v>7656907.4110475341</v>
      </c>
      <c r="D60" s="18">
        <f>VLOOKUP(A60,'IP Supp Combo'!$B$9:$I$34,8,FALSE)</f>
        <v>2731022.5068171383</v>
      </c>
      <c r="E60" s="97">
        <f>VLOOKUP(A60,Mid!$A$10:$G$35,7,FALSE)</f>
        <v>0</v>
      </c>
      <c r="F60" s="18">
        <f>VLOOKUP(A60,'OP Supp'!$A$9:$E$34,5,FALSE)</f>
        <v>2066179.2730915123</v>
      </c>
      <c r="G60" s="17">
        <f t="shared" si="6"/>
        <v>12454109.190956185</v>
      </c>
      <c r="H60" s="123">
        <f t="shared" si="7"/>
        <v>3113527.2977390462</v>
      </c>
      <c r="J60" s="123"/>
      <c r="K60" s="123"/>
      <c r="L60" s="2"/>
      <c r="M60" s="153"/>
      <c r="N60" s="153"/>
    </row>
    <row r="61" spans="1:14">
      <c r="A61" s="9" t="s">
        <v>20</v>
      </c>
      <c r="B61" s="18">
        <f>VLOOKUP(A61,Small!$A$13:$G$38,7,FALSE)</f>
        <v>0</v>
      </c>
      <c r="C61" s="18">
        <f>VLOOKUP(A61,'IP Supp Combo'!$B$9:$I$34,7,FALSE)</f>
        <v>5355860.7784065381</v>
      </c>
      <c r="D61" s="18">
        <f>VLOOKUP(A61,'IP Supp Combo'!$B$9:$I$34,8,FALSE)</f>
        <v>1910298.1848916351</v>
      </c>
      <c r="E61" s="97">
        <f>VLOOKUP(A61,Mid!$A$10:$G$35,7,FALSE)</f>
        <v>0</v>
      </c>
      <c r="F61" s="18">
        <f>VLOOKUP(A61,'OP Supp'!$A$9:$E$34,5,FALSE)</f>
        <v>1767874.9277436335</v>
      </c>
      <c r="G61" s="17">
        <f t="shared" si="6"/>
        <v>9034033.8910418078</v>
      </c>
      <c r="H61" s="123">
        <f t="shared" si="7"/>
        <v>2258508.472760452</v>
      </c>
      <c r="J61" s="123"/>
      <c r="K61" s="123"/>
      <c r="L61" s="2"/>
      <c r="M61" s="153"/>
      <c r="N61" s="153"/>
    </row>
    <row r="62" spans="1:14">
      <c r="A62" s="9" t="s">
        <v>21</v>
      </c>
      <c r="B62" s="18">
        <f>VLOOKUP(A62,Small!$A$13:$G$38,7,FALSE)</f>
        <v>0</v>
      </c>
      <c r="C62" s="18">
        <f>VLOOKUP(A62,'IP Supp Combo'!$B$9:$I$34,7,FALSE)</f>
        <v>4196361.8709149295</v>
      </c>
      <c r="D62" s="18">
        <f>VLOOKUP(A62,'IP Supp Combo'!$B$9:$I$34,8,FALSE)</f>
        <v>1496734.6607434121</v>
      </c>
      <c r="E62" s="97">
        <f>VLOOKUP(A62,Mid!$A$10:$G$35,7,FALSE)</f>
        <v>0</v>
      </c>
      <c r="F62" s="18">
        <f>VLOOKUP(A62,'OP Supp'!$A$9:$E$34,5,FALSE)</f>
        <v>1499369.4698488347</v>
      </c>
      <c r="G62" s="17">
        <f t="shared" si="6"/>
        <v>7192466.001507177</v>
      </c>
      <c r="H62" s="123">
        <f t="shared" si="7"/>
        <v>1798116.5003767943</v>
      </c>
      <c r="J62" s="123"/>
      <c r="K62" s="123"/>
      <c r="L62" s="2"/>
      <c r="M62" s="153"/>
      <c r="N62" s="153"/>
    </row>
    <row r="63" spans="1:14">
      <c r="A63" s="9" t="s">
        <v>22</v>
      </c>
      <c r="B63" s="18">
        <f>VLOOKUP(A63,Small!$A$13:$G$38,7,FALSE)</f>
        <v>0</v>
      </c>
      <c r="C63" s="18">
        <f>VLOOKUP(A63,'IP Supp Combo'!$B$9:$I$34,7,FALSE)</f>
        <v>5697638.5619802121</v>
      </c>
      <c r="D63" s="18">
        <f>VLOOKUP(A63,'IP Supp Combo'!$B$9:$I$34,8,FALSE)</f>
        <v>2032201.555163953</v>
      </c>
      <c r="E63" s="97">
        <f>VLOOKUP(A63,Mid!$A$10:$G$35,7,FALSE)</f>
        <v>13018505.736336382</v>
      </c>
      <c r="F63" s="18">
        <f>VLOOKUP(A63,'OP Supp'!$A$9:$E$34,5,FALSE)</f>
        <v>2022941.022734185</v>
      </c>
      <c r="G63" s="17">
        <f t="shared" si="6"/>
        <v>22771286.876214731</v>
      </c>
      <c r="H63" s="123">
        <f t="shared" si="7"/>
        <v>5692821.7190536829</v>
      </c>
      <c r="J63" s="123"/>
      <c r="K63" s="123"/>
      <c r="L63" s="2"/>
      <c r="M63" s="153"/>
      <c r="N63" s="153"/>
    </row>
    <row r="64" spans="1:14">
      <c r="A64" s="9" t="s">
        <v>23</v>
      </c>
      <c r="B64" s="18">
        <f>VLOOKUP(A64,Small!$A$13:$G$38,7,FALSE)</f>
        <v>0</v>
      </c>
      <c r="C64" s="18">
        <f>VLOOKUP(A64,'IP Supp Combo'!$B$9:$I$34,7,FALSE)</f>
        <v>592529.02773745276</v>
      </c>
      <c r="D64" s="18">
        <f>VLOOKUP(A64,'IP Supp Combo'!$B$9:$I$34,8,FALSE)</f>
        <v>211339.90837589011</v>
      </c>
      <c r="E64" s="97">
        <f>VLOOKUP(A64,Mid!$A$10:$G$35,7,FALSE)</f>
        <v>0</v>
      </c>
      <c r="F64" s="18">
        <f>VLOOKUP(A64,'OP Supp'!$A$9:$E$34,5,FALSE)</f>
        <v>409913.19506464788</v>
      </c>
      <c r="G64" s="17">
        <f t="shared" si="6"/>
        <v>1213782.1311779907</v>
      </c>
      <c r="H64" s="123">
        <f t="shared" si="7"/>
        <v>303445.53279449767</v>
      </c>
      <c r="J64" s="123"/>
      <c r="K64" s="123"/>
      <c r="L64" s="2"/>
      <c r="M64" s="153"/>
      <c r="N64" s="153"/>
    </row>
    <row r="65" spans="1:14">
      <c r="A65" s="9" t="s">
        <v>24</v>
      </c>
      <c r="B65" s="18">
        <f>VLOOKUP(A65,Small!$A$13:$G$38,7,FALSE)</f>
        <v>0</v>
      </c>
      <c r="C65" s="18">
        <f>VLOOKUP(A65,'IP Supp Combo'!$B$9:$I$34,7,FALSE)</f>
        <v>8782654.5845020581</v>
      </c>
      <c r="D65" s="18">
        <f>VLOOKUP(A65,'IP Supp Combo'!$B$9:$I$34,8,FALSE)</f>
        <v>3132547.6530209724</v>
      </c>
      <c r="E65" s="97">
        <f>VLOOKUP(A65,Mid!$A$10:$G$35,7,FALSE)</f>
        <v>14541325.489833502</v>
      </c>
      <c r="F65" s="18">
        <f>VLOOKUP(A65,'OP Supp'!$A$9:$E$34,5,FALSE)</f>
        <v>2089649.7088201395</v>
      </c>
      <c r="G65" s="17">
        <f t="shared" si="6"/>
        <v>28546177.436176669</v>
      </c>
      <c r="H65" s="123">
        <f t="shared" si="7"/>
        <v>7136544.3590441672</v>
      </c>
      <c r="J65" s="123"/>
      <c r="K65" s="123"/>
      <c r="L65" s="2"/>
      <c r="M65" s="153"/>
      <c r="N65" s="153"/>
    </row>
    <row r="66" spans="1:14">
      <c r="A66" s="9" t="s">
        <v>25</v>
      </c>
      <c r="B66" s="18">
        <f>VLOOKUP(A66,Small!$A$13:$G$38,7,FALSE)</f>
        <v>0</v>
      </c>
      <c r="C66" s="18">
        <f>VLOOKUP(A66,'IP Supp Combo'!$B$9:$I$34,7,FALSE)</f>
        <v>856002.78834509244</v>
      </c>
      <c r="D66" s="18">
        <f>VLOOKUP(A66,'IP Supp Combo'!$B$9:$I$34,8,FALSE)</f>
        <v>305314.2418172257</v>
      </c>
      <c r="E66" s="97">
        <f>VLOOKUP(A66,Mid!$A$10:$G$35,7,FALSE)</f>
        <v>0</v>
      </c>
      <c r="F66" s="18">
        <f>VLOOKUP(A66,'OP Supp'!$A$9:$E$34,5,FALSE)</f>
        <v>568691.3408327254</v>
      </c>
      <c r="G66" s="17">
        <f t="shared" si="6"/>
        <v>1730008.3709950435</v>
      </c>
      <c r="H66" s="123">
        <f t="shared" si="7"/>
        <v>432502.09274876089</v>
      </c>
      <c r="J66" s="123"/>
      <c r="K66" s="123"/>
      <c r="L66" s="2"/>
      <c r="M66" s="153"/>
      <c r="N66" s="153"/>
    </row>
    <row r="67" spans="1:14">
      <c r="A67" s="9" t="s">
        <v>26</v>
      </c>
      <c r="B67" s="18">
        <f>VLOOKUP(A67,Small!$A$13:$G$38,7,FALSE)</f>
        <v>0</v>
      </c>
      <c r="C67" s="18">
        <f>VLOOKUP(A67,'IP Supp Combo'!$B$9:$I$34,7,FALSE)</f>
        <v>23939690.188021697</v>
      </c>
      <c r="D67" s="18">
        <f>VLOOKUP(A67,'IP Supp Combo'!$B$9:$I$34,8,FALSE)</f>
        <v>8538673.5401012395</v>
      </c>
      <c r="E67" s="97">
        <f>VLOOKUP(A67,Mid!$A$10:$G$35,7,FALSE)</f>
        <v>0</v>
      </c>
      <c r="F67" s="18">
        <f>VLOOKUP(A67,'OP Supp'!$A$9:$E$34,5,FALSE)</f>
        <v>3766069.2832023473</v>
      </c>
      <c r="G67" s="17">
        <f t="shared" si="6"/>
        <v>36244433.011325285</v>
      </c>
      <c r="H67" s="123">
        <f t="shared" si="7"/>
        <v>9061108.2528313212</v>
      </c>
      <c r="J67" s="123"/>
      <c r="K67" s="123"/>
      <c r="L67" s="2"/>
      <c r="M67" s="153"/>
      <c r="N67" s="153"/>
    </row>
    <row r="68" spans="1:14">
      <c r="A68" s="9" t="s">
        <v>27</v>
      </c>
      <c r="B68" s="18">
        <f>VLOOKUP(A68,Small!$A$13:$G$38,7,FALSE)</f>
        <v>0</v>
      </c>
      <c r="C68" s="18">
        <f>VLOOKUP(A68,'IP Supp Combo'!$B$9:$I$34,7,FALSE)</f>
        <v>9544440.8776117489</v>
      </c>
      <c r="D68" s="18">
        <f>VLOOKUP(A68,'IP Supp Combo'!$B$9:$I$34,8,FALSE)</f>
        <v>3404257.287235125</v>
      </c>
      <c r="E68" s="97">
        <f>VLOOKUP(A68,Mid!$A$10:$G$35,7,FALSE)</f>
        <v>0</v>
      </c>
      <c r="F68" s="18">
        <f>VLOOKUP(A68,'OP Supp'!$A$9:$E$34,5,FALSE)</f>
        <v>2820300.7827001791</v>
      </c>
      <c r="G68" s="17">
        <f t="shared" si="6"/>
        <v>15768998.947547054</v>
      </c>
      <c r="H68" s="123">
        <f t="shared" si="7"/>
        <v>3942249.7368867635</v>
      </c>
      <c r="J68" s="123"/>
      <c r="K68" s="123"/>
      <c r="L68" s="2"/>
      <c r="M68" s="153"/>
      <c r="N68" s="153"/>
    </row>
    <row r="69" spans="1:14">
      <c r="A69" s="9" t="s">
        <v>28</v>
      </c>
      <c r="B69" s="18">
        <f>VLOOKUP(A69,Small!$A$13:$G$38,7,FALSE)</f>
        <v>0</v>
      </c>
      <c r="C69" s="18">
        <f>VLOOKUP(A69,'IP Supp Combo'!$B$9:$I$34,7,FALSE)</f>
        <v>16377058.524278421</v>
      </c>
      <c r="D69" s="18">
        <f>VLOOKUP(A69,'IP Supp Combo'!$B$9:$I$34,8,FALSE)</f>
        <v>5841276.7745805746</v>
      </c>
      <c r="E69" s="97">
        <f>VLOOKUP(A69,Mid!$A$10:$G$35,7,FALSE)</f>
        <v>0</v>
      </c>
      <c r="F69" s="18">
        <f>VLOOKUP(A69,'OP Supp'!$A$9:$E$34,5,FALSE)</f>
        <v>3543196.8990052133</v>
      </c>
      <c r="G69" s="17">
        <f t="shared" si="6"/>
        <v>25761532.197864208</v>
      </c>
      <c r="H69" s="123">
        <f t="shared" si="7"/>
        <v>6440383.0494660521</v>
      </c>
      <c r="J69" s="123"/>
      <c r="K69" s="123"/>
      <c r="L69" s="2"/>
      <c r="M69" s="153"/>
      <c r="N69" s="153"/>
    </row>
    <row r="70" spans="1:14">
      <c r="A70" s="9" t="s">
        <v>29</v>
      </c>
      <c r="B70" s="18">
        <f>VLOOKUP(A70,Small!$A$13:$G$38,7,FALSE)</f>
        <v>0</v>
      </c>
      <c r="C70" s="18">
        <f>VLOOKUP(A70,'IP Supp Combo'!$B$9:$I$34,7,FALSE)</f>
        <v>463928.77639717027</v>
      </c>
      <c r="D70" s="18">
        <f>VLOOKUP(A70,'IP Supp Combo'!$B$9:$I$34,8,FALSE)</f>
        <v>165471.49676548986</v>
      </c>
      <c r="E70" s="97">
        <f>VLOOKUP(A70,Mid!$A$10:$G$35,7,FALSE)</f>
        <v>0</v>
      </c>
      <c r="F70" s="18">
        <f>VLOOKUP(A70,'OP Supp'!$A$9:$E$34,5,FALSE)</f>
        <v>140263.41413020776</v>
      </c>
      <c r="G70" s="17">
        <f t="shared" si="6"/>
        <v>769663.68729286792</v>
      </c>
      <c r="H70" s="123">
        <f t="shared" si="7"/>
        <v>192415.92182321698</v>
      </c>
      <c r="J70" s="123"/>
      <c r="K70" s="123"/>
      <c r="L70" s="2"/>
      <c r="M70" s="153"/>
      <c r="N70" s="153"/>
    </row>
    <row r="71" spans="1:14">
      <c r="A71" s="9" t="s">
        <v>30</v>
      </c>
      <c r="B71" s="18">
        <f>VLOOKUP(A71,Small!$A$13:$G$38,7,FALSE)</f>
        <v>0</v>
      </c>
      <c r="C71" s="18">
        <f>VLOOKUP(A71,'IP Supp Combo'!$B$9:$I$34,7,FALSE)</f>
        <v>6335511.6618482145</v>
      </c>
      <c r="D71" s="18">
        <f>VLOOKUP(A71,'IP Supp Combo'!$B$9:$I$34,8,FALSE)</f>
        <v>2259714.531188617</v>
      </c>
      <c r="E71" s="97">
        <f>VLOOKUP(A71,Mid!$A$10:$G$35,7,FALSE)</f>
        <v>14475978.77878226</v>
      </c>
      <c r="F71" s="18">
        <f>VLOOKUP(A71,'OP Supp'!$A$9:$E$34,5,FALSE)</f>
        <v>2380293.9865416312</v>
      </c>
      <c r="G71" s="17">
        <f t="shared" si="6"/>
        <v>25451498.958360724</v>
      </c>
      <c r="H71" s="123">
        <f t="shared" si="7"/>
        <v>6362874.739590181</v>
      </c>
      <c r="J71" s="123"/>
      <c r="K71" s="123"/>
      <c r="L71" s="2"/>
      <c r="M71" s="153"/>
      <c r="N71" s="153"/>
    </row>
    <row r="72" spans="1:14">
      <c r="A72" s="10" t="s">
        <v>31</v>
      </c>
      <c r="B72" s="18">
        <f>VLOOKUP(A72,Small!$A$13:$G$38,7,FALSE)</f>
        <v>0</v>
      </c>
      <c r="C72" s="18">
        <f>VLOOKUP(A72,'IP Supp Combo'!$B$9:$I$34,7,FALSE)</f>
        <v>9077411.2429444604</v>
      </c>
      <c r="D72" s="18">
        <f>VLOOKUP(A72,'IP Supp Combo'!$B$9:$I$34,8,FALSE)</f>
        <v>3237679.793848346</v>
      </c>
      <c r="E72" s="97">
        <f>VLOOKUP(A72,Mid!$A$10:$G$35,7,FALSE)</f>
        <v>0</v>
      </c>
      <c r="F72" s="18">
        <f>VLOOKUP(A72,'OP Supp'!$A$9:$E$34,5,FALSE)</f>
        <v>1808623.6561223851</v>
      </c>
      <c r="G72" s="17">
        <f t="shared" si="6"/>
        <v>14123714.692915192</v>
      </c>
      <c r="H72" s="123">
        <f t="shared" si="7"/>
        <v>3530928.673228798</v>
      </c>
      <c r="J72" s="123"/>
      <c r="K72" s="123"/>
      <c r="L72" s="2"/>
      <c r="M72" s="153"/>
      <c r="N72" s="153"/>
    </row>
    <row r="73" spans="1:14">
      <c r="A73" s="10" t="s">
        <v>32</v>
      </c>
      <c r="B73" s="18">
        <f>VLOOKUP(A73,Small!$A$13:$G$38,7,FALSE)</f>
        <v>0</v>
      </c>
      <c r="C73" s="18">
        <f>VLOOKUP(A73,'IP Supp Combo'!$B$9:$I$34,7,FALSE)</f>
        <v>970939.51260724163</v>
      </c>
      <c r="D73" s="18">
        <f>VLOOKUP(A73,'IP Supp Combo'!$B$9:$I$34,8,FALSE)</f>
        <v>346309.2237294885</v>
      </c>
      <c r="E73" s="97">
        <f>VLOOKUP(A73,Mid!$A$10:$G$35,7,FALSE)</f>
        <v>0</v>
      </c>
      <c r="F73" s="18">
        <f>VLOOKUP(A73,'OP Supp'!$A$9:$E$34,5,FALSE)</f>
        <v>767692.58970973687</v>
      </c>
      <c r="G73" s="17">
        <f t="shared" si="6"/>
        <v>2084941.3260464671</v>
      </c>
      <c r="H73" s="123">
        <f t="shared" si="7"/>
        <v>521235.33151161677</v>
      </c>
      <c r="J73" s="123"/>
      <c r="K73" s="123"/>
      <c r="L73" s="2"/>
      <c r="M73" s="153"/>
      <c r="N73" s="153"/>
    </row>
    <row r="74" spans="1:14">
      <c r="A74" s="7" t="s">
        <v>33</v>
      </c>
      <c r="B74" s="1">
        <f>VLOOKUP(A74,Small!$A$13:$G$38,7,FALSE)</f>
        <v>0</v>
      </c>
      <c r="C74" s="1">
        <f>VLOOKUP(A74,'IP Supp Combo'!$B$9:$I$34,7,FALSE)</f>
        <v>35112337.099697277</v>
      </c>
      <c r="D74" s="1">
        <f>VLOOKUP(A74,'IP Supp Combo'!$B$9:$I$34,8,FALSE)</f>
        <v>25685296.867270302</v>
      </c>
      <c r="E74" s="1">
        <f>VLOOKUP(A74,Mid!$A$10:$G$35,7,FALSE)</f>
        <v>0</v>
      </c>
      <c r="F74" s="1">
        <f>VLOOKUP(A74,'OP Supp'!$A$9:$E$34,5,FALSE)</f>
        <v>9774618.4856148344</v>
      </c>
      <c r="G74" s="80">
        <f t="shared" si="6"/>
        <v>70572252.452582419</v>
      </c>
      <c r="H74" s="80">
        <f t="shared" si="7"/>
        <v>17643063.113145605</v>
      </c>
      <c r="J74" s="123"/>
      <c r="K74" s="123"/>
      <c r="L74" s="2"/>
      <c r="M74" s="153"/>
      <c r="N74" s="153"/>
    </row>
    <row r="75" spans="1:14" s="16" customFormat="1">
      <c r="A75" s="16" t="s">
        <v>34</v>
      </c>
      <c r="B75" s="106">
        <f t="shared" ref="B75:H75" si="8">SUM(B49:B74)</f>
        <v>9041755.1483024508</v>
      </c>
      <c r="C75" s="106">
        <f t="shared" si="8"/>
        <v>229729638.04743052</v>
      </c>
      <c r="D75" s="106">
        <f t="shared" si="8"/>
        <v>95100297.019603238</v>
      </c>
      <c r="E75" s="106">
        <f t="shared" si="8"/>
        <v>59729705.892331928</v>
      </c>
      <c r="F75" s="106">
        <f t="shared" si="8"/>
        <v>59729705.892331921</v>
      </c>
      <c r="G75" s="106">
        <f t="shared" si="8"/>
        <v>453331102.00000012</v>
      </c>
      <c r="H75" s="106">
        <f t="shared" si="8"/>
        <v>113332775.50000003</v>
      </c>
      <c r="J75" s="150"/>
      <c r="K75" s="124"/>
      <c r="L75" s="147"/>
      <c r="M75" s="154"/>
      <c r="N75" s="154"/>
    </row>
    <row r="76" spans="1:14">
      <c r="J76" s="2"/>
      <c r="K76" s="2"/>
      <c r="L76" s="2"/>
      <c r="M76" s="2"/>
      <c r="N76" s="2"/>
    </row>
    <row r="77" spans="1:14">
      <c r="A77" s="16"/>
      <c r="B77" s="144" t="s">
        <v>81</v>
      </c>
      <c r="C77" s="144" t="s">
        <v>82</v>
      </c>
      <c r="D77" s="144" t="s">
        <v>83</v>
      </c>
      <c r="E77" s="144" t="s">
        <v>84</v>
      </c>
      <c r="F77" s="107" t="s">
        <v>74</v>
      </c>
      <c r="G77" s="139" t="s">
        <v>89</v>
      </c>
      <c r="H77" s="139" t="s">
        <v>89</v>
      </c>
      <c r="J77" s="152"/>
      <c r="K77" s="2"/>
      <c r="L77" s="2"/>
      <c r="M77" s="163"/>
      <c r="N77" s="163"/>
    </row>
    <row r="78" spans="1:14">
      <c r="A78" s="2"/>
      <c r="B78" s="144" t="s">
        <v>4</v>
      </c>
      <c r="C78" s="144" t="s">
        <v>3</v>
      </c>
      <c r="D78" s="144" t="s">
        <v>3</v>
      </c>
      <c r="E78" s="144" t="s">
        <v>4</v>
      </c>
      <c r="F78" s="144" t="s">
        <v>3</v>
      </c>
      <c r="G78" s="69" t="s">
        <v>5</v>
      </c>
      <c r="H78" s="69" t="s">
        <v>117</v>
      </c>
      <c r="J78" s="152"/>
      <c r="K78" s="2"/>
      <c r="L78" s="2"/>
      <c r="M78" s="77"/>
      <c r="N78" s="2"/>
    </row>
    <row r="79" spans="1:14">
      <c r="A79" s="7" t="s">
        <v>115</v>
      </c>
      <c r="B79" s="104" t="s">
        <v>7</v>
      </c>
      <c r="C79" s="104" t="s">
        <v>0</v>
      </c>
      <c r="D79" s="104" t="s">
        <v>0</v>
      </c>
      <c r="E79" s="104" t="s">
        <v>7</v>
      </c>
      <c r="F79" s="104" t="s">
        <v>0</v>
      </c>
      <c r="G79" s="140" t="s">
        <v>0</v>
      </c>
      <c r="H79" s="141" t="s">
        <v>0</v>
      </c>
      <c r="J79" s="152"/>
      <c r="K79" s="139"/>
      <c r="L79" s="2"/>
      <c r="M79" s="77"/>
      <c r="N79" s="2"/>
    </row>
    <row r="80" spans="1:14">
      <c r="A80" s="10" t="s">
        <v>104</v>
      </c>
      <c r="B80" s="17">
        <f t="shared" ref="B80:G80" si="9">+B49+B56+B58+B57+B62+B69+B73</f>
        <v>0</v>
      </c>
      <c r="C80" s="17">
        <f t="shared" si="9"/>
        <v>71750780.579639897</v>
      </c>
      <c r="D80" s="17">
        <f t="shared" si="9"/>
        <v>25591663.334203284</v>
      </c>
      <c r="E80" s="17">
        <f t="shared" si="9"/>
        <v>0</v>
      </c>
      <c r="F80" s="17">
        <f t="shared" si="9"/>
        <v>18372760.778595645</v>
      </c>
      <c r="G80" s="17">
        <f t="shared" si="9"/>
        <v>115715204.69243881</v>
      </c>
      <c r="H80" s="123">
        <f t="shared" ref="H80:H89" si="10">G80/4</f>
        <v>28928801.173109703</v>
      </c>
      <c r="J80" s="123"/>
      <c r="K80" s="2"/>
      <c r="L80" s="2"/>
      <c r="M80" s="153"/>
      <c r="N80" s="153"/>
    </row>
    <row r="81" spans="1:14">
      <c r="A81" s="10" t="s">
        <v>105</v>
      </c>
      <c r="B81" s="17">
        <f t="shared" ref="B81:G81" si="11">+B74+B60+B54+B50+B64</f>
        <v>0</v>
      </c>
      <c r="C81" s="17">
        <f t="shared" si="11"/>
        <v>67162688.797680616</v>
      </c>
      <c r="D81" s="17">
        <f t="shared" si="11"/>
        <v>37116835.364432625</v>
      </c>
      <c r="E81" s="17">
        <f t="shared" si="11"/>
        <v>3152570.3975462751</v>
      </c>
      <c r="F81" s="17">
        <f t="shared" si="11"/>
        <v>17385516.570269663</v>
      </c>
      <c r="G81" s="17">
        <f t="shared" si="11"/>
        <v>124817611.12992918</v>
      </c>
      <c r="H81" s="123">
        <f t="shared" si="10"/>
        <v>31204402.782482296</v>
      </c>
      <c r="J81" s="123"/>
      <c r="K81" s="2"/>
      <c r="L81" s="2"/>
      <c r="M81" s="153"/>
      <c r="N81" s="153"/>
    </row>
    <row r="82" spans="1:14">
      <c r="A82" s="10" t="s">
        <v>113</v>
      </c>
      <c r="B82" s="17">
        <f t="shared" ref="B82:G82" si="12">+B70+B65+B52</f>
        <v>0</v>
      </c>
      <c r="C82" s="17">
        <f t="shared" si="12"/>
        <v>18334460.274820469</v>
      </c>
      <c r="D82" s="17">
        <f t="shared" si="12"/>
        <v>6539431.7800728306</v>
      </c>
      <c r="E82" s="17">
        <f t="shared" si="12"/>
        <v>29082650.979667004</v>
      </c>
      <c r="F82" s="17">
        <f t="shared" si="12"/>
        <v>4826194.5200684275</v>
      </c>
      <c r="G82" s="17">
        <f t="shared" si="12"/>
        <v>58782737.554628722</v>
      </c>
      <c r="H82" s="123">
        <f t="shared" si="10"/>
        <v>14695684.388657181</v>
      </c>
      <c r="J82" s="123"/>
      <c r="K82" s="2"/>
      <c r="L82" s="2"/>
      <c r="M82" s="153"/>
      <c r="N82" s="153"/>
    </row>
    <row r="83" spans="1:14">
      <c r="A83" s="10" t="s">
        <v>106</v>
      </c>
      <c r="B83" s="17">
        <f t="shared" ref="B83:G83" si="13">+B72+B66+B61</f>
        <v>0</v>
      </c>
      <c r="C83" s="17">
        <f t="shared" si="13"/>
        <v>15289274.809696091</v>
      </c>
      <c r="D83" s="17">
        <f t="shared" si="13"/>
        <v>5453292.2205572072</v>
      </c>
      <c r="E83" s="17">
        <f t="shared" si="13"/>
        <v>0</v>
      </c>
      <c r="F83" s="17">
        <f t="shared" si="13"/>
        <v>4145189.924698744</v>
      </c>
      <c r="G83" s="17">
        <f t="shared" si="13"/>
        <v>24887756.954952043</v>
      </c>
      <c r="H83" s="123">
        <f t="shared" si="10"/>
        <v>6221939.2387380106</v>
      </c>
      <c r="J83" s="123"/>
      <c r="K83" s="2"/>
      <c r="L83" s="2"/>
      <c r="M83" s="153"/>
      <c r="N83" s="153"/>
    </row>
    <row r="84" spans="1:14">
      <c r="A84" s="10" t="s">
        <v>107</v>
      </c>
      <c r="B84" s="17">
        <f t="shared" ref="B84:G84" si="14">+B68+B67+B59</f>
        <v>0</v>
      </c>
      <c r="C84" s="17">
        <f t="shared" si="14"/>
        <v>35139356.043095499</v>
      </c>
      <c r="D84" s="17">
        <f t="shared" si="14"/>
        <v>12533307.127404006</v>
      </c>
      <c r="E84" s="17">
        <f t="shared" si="14"/>
        <v>0</v>
      </c>
      <c r="F84" s="17">
        <f t="shared" si="14"/>
        <v>6911582.5032022735</v>
      </c>
      <c r="G84" s="17">
        <f t="shared" si="14"/>
        <v>54584245.673701778</v>
      </c>
      <c r="H84" s="123">
        <f t="shared" si="10"/>
        <v>13646061.418425445</v>
      </c>
      <c r="J84" s="123"/>
      <c r="K84" s="2"/>
      <c r="L84" s="2"/>
      <c r="M84" s="153"/>
      <c r="N84" s="153"/>
    </row>
    <row r="85" spans="1:14">
      <c r="A85" s="10" t="s">
        <v>108</v>
      </c>
      <c r="B85" s="17">
        <f>+B71</f>
        <v>0</v>
      </c>
      <c r="C85" s="17">
        <f>+C71</f>
        <v>6335511.6618482145</v>
      </c>
      <c r="D85" s="17">
        <f t="shared" ref="D85:G85" si="15">+D71</f>
        <v>2259714.531188617</v>
      </c>
      <c r="E85" s="17">
        <f t="shared" si="15"/>
        <v>14475978.77878226</v>
      </c>
      <c r="F85" s="17">
        <f t="shared" si="15"/>
        <v>2380293.9865416312</v>
      </c>
      <c r="G85" s="17">
        <f t="shared" si="15"/>
        <v>25451498.958360724</v>
      </c>
      <c r="H85" s="123">
        <f t="shared" si="10"/>
        <v>6362874.739590181</v>
      </c>
      <c r="J85" s="123"/>
      <c r="K85" s="2"/>
      <c r="L85" s="2"/>
      <c r="M85" s="153"/>
      <c r="N85" s="153"/>
    </row>
    <row r="86" spans="1:14">
      <c r="A86" s="10" t="s">
        <v>109</v>
      </c>
      <c r="B86" s="17">
        <f>+B51</f>
        <v>3013918.3827674836</v>
      </c>
      <c r="C86" s="17">
        <f>+C51</f>
        <v>3740498.8372537741</v>
      </c>
      <c r="D86" s="17">
        <f t="shared" ref="D86:G86" si="16">+D51</f>
        <v>1334140.0075602892</v>
      </c>
      <c r="E86" s="17">
        <f t="shared" si="16"/>
        <v>0</v>
      </c>
      <c r="F86" s="17">
        <f t="shared" si="16"/>
        <v>1330916.3755292674</v>
      </c>
      <c r="G86" s="17">
        <f t="shared" si="16"/>
        <v>9419473.6031108145</v>
      </c>
      <c r="H86" s="123">
        <f t="shared" si="10"/>
        <v>2354868.4007777036</v>
      </c>
      <c r="J86" s="123"/>
      <c r="K86" s="2"/>
      <c r="L86" s="2"/>
      <c r="M86" s="153"/>
      <c r="N86" s="153"/>
    </row>
    <row r="87" spans="1:14">
      <c r="A87" s="10" t="s">
        <v>110</v>
      </c>
      <c r="B87" s="17">
        <f>+B63</f>
        <v>0</v>
      </c>
      <c r="C87" s="17">
        <f>+C63</f>
        <v>5697638.5619802121</v>
      </c>
      <c r="D87" s="17">
        <f t="shared" ref="D87:G87" si="17">+D63</f>
        <v>2032201.555163953</v>
      </c>
      <c r="E87" s="17">
        <f t="shared" si="17"/>
        <v>13018505.736336382</v>
      </c>
      <c r="F87" s="17">
        <f t="shared" si="17"/>
        <v>2022941.022734185</v>
      </c>
      <c r="G87" s="17">
        <f t="shared" si="17"/>
        <v>22771286.876214731</v>
      </c>
      <c r="H87" s="123">
        <f t="shared" si="10"/>
        <v>5692821.7190536829</v>
      </c>
      <c r="J87" s="123"/>
      <c r="K87" s="2"/>
      <c r="L87" s="2"/>
      <c r="M87" s="153"/>
      <c r="N87" s="153"/>
    </row>
    <row r="88" spans="1:14">
      <c r="A88" s="10" t="s">
        <v>111</v>
      </c>
      <c r="B88" s="17">
        <f>+B55</f>
        <v>3013918.3827674836</v>
      </c>
      <c r="C88" s="17">
        <f>+C55</f>
        <v>3693435.1384137673</v>
      </c>
      <c r="D88" s="17">
        <f t="shared" ref="D88:G88" si="18">+D55</f>
        <v>1317353.5931652721</v>
      </c>
      <c r="E88" s="17">
        <f t="shared" si="18"/>
        <v>0</v>
      </c>
      <c r="F88" s="17">
        <f t="shared" si="18"/>
        <v>1295243.3028497086</v>
      </c>
      <c r="G88" s="17">
        <f t="shared" si="18"/>
        <v>9319950.417196231</v>
      </c>
      <c r="H88" s="123">
        <f t="shared" si="10"/>
        <v>2329987.6042990577</v>
      </c>
      <c r="J88" s="123"/>
      <c r="K88" s="2"/>
      <c r="L88" s="2"/>
      <c r="M88" s="153"/>
      <c r="N88" s="153"/>
    </row>
    <row r="89" spans="1:14">
      <c r="A89" s="10" t="s">
        <v>114</v>
      </c>
      <c r="B89" s="17">
        <f>+B53</f>
        <v>3013918.3827674836</v>
      </c>
      <c r="C89" s="17">
        <f>+C53</f>
        <v>2585993.3430019561</v>
      </c>
      <c r="D89" s="17">
        <f t="shared" ref="D89:G89" si="19">+D53</f>
        <v>922357.50585515215</v>
      </c>
      <c r="E89" s="17">
        <f t="shared" si="19"/>
        <v>0</v>
      </c>
      <c r="F89" s="17">
        <f t="shared" si="19"/>
        <v>1059066.9078423746</v>
      </c>
      <c r="G89" s="17">
        <f t="shared" si="19"/>
        <v>7581336.1394669665</v>
      </c>
      <c r="H89" s="80">
        <f t="shared" si="10"/>
        <v>1895334.0348667416</v>
      </c>
      <c r="J89" s="123"/>
      <c r="K89" s="2"/>
      <c r="L89" s="2"/>
      <c r="M89" s="153"/>
      <c r="N89" s="153"/>
    </row>
    <row r="90" spans="1:14" s="16" customFormat="1">
      <c r="A90" s="145" t="s">
        <v>34</v>
      </c>
      <c r="B90" s="146">
        <f t="shared" ref="B90:H90" si="20">SUM(B80:B89)</f>
        <v>9041755.1483024508</v>
      </c>
      <c r="C90" s="146">
        <f t="shared" si="20"/>
        <v>229729638.04743052</v>
      </c>
      <c r="D90" s="146">
        <f t="shared" si="20"/>
        <v>95100297.019603252</v>
      </c>
      <c r="E90" s="146">
        <f t="shared" si="20"/>
        <v>59729705.892331921</v>
      </c>
      <c r="F90" s="146">
        <f t="shared" si="20"/>
        <v>59729705.892331921</v>
      </c>
      <c r="G90" s="146">
        <f t="shared" si="20"/>
        <v>453331101.99999994</v>
      </c>
      <c r="H90" s="146">
        <f t="shared" si="20"/>
        <v>113332775.49999999</v>
      </c>
      <c r="I90" s="147"/>
      <c r="J90" s="106"/>
      <c r="K90" s="106"/>
      <c r="L90" s="147"/>
      <c r="M90" s="154"/>
      <c r="N90" s="154"/>
    </row>
    <row r="91" spans="1:14">
      <c r="J91" s="2"/>
      <c r="K91" s="2"/>
      <c r="L91" s="2"/>
      <c r="M91" s="2"/>
      <c r="N91" s="2"/>
    </row>
    <row r="92" spans="1:14">
      <c r="A92" s="16" t="s">
        <v>118</v>
      </c>
      <c r="D92" s="17"/>
      <c r="J92" s="2"/>
      <c r="K92" s="2"/>
      <c r="L92" s="2"/>
      <c r="M92" s="2"/>
      <c r="N92" s="2"/>
    </row>
    <row r="104" spans="1:7">
      <c r="A104" s="16"/>
      <c r="B104" s="16"/>
      <c r="C104" s="106"/>
      <c r="D104" s="106"/>
      <c r="E104" s="106"/>
      <c r="F104" s="125"/>
      <c r="G104" s="124"/>
    </row>
  </sheetData>
  <mergeCells count="3">
    <mergeCell ref="B45:G45"/>
    <mergeCell ref="M46:N46"/>
    <mergeCell ref="M77:N77"/>
  </mergeCells>
  <pageMargins left="0.25" right="0.25" top="0.5" bottom="0.5" header="0.3" footer="0.3"/>
  <pageSetup scale="83" orientation="portrait" r:id="rId1"/>
  <headerFooter>
    <oddFooter>&amp;L&amp;9&amp;Z&amp;F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B1" zoomScaleNormal="100" workbookViewId="0">
      <selection activeCell="E3" sqref="E3"/>
    </sheetView>
  </sheetViews>
  <sheetFormatPr defaultColWidth="9.140625" defaultRowHeight="12.75"/>
  <cols>
    <col min="1" max="1" width="1.85546875" style="24" hidden="1" customWidth="1"/>
    <col min="2" max="2" width="16.7109375" style="24" customWidth="1"/>
    <col min="3" max="3" width="12.42578125" style="24" customWidth="1"/>
    <col min="4" max="4" width="13.28515625" style="24" customWidth="1"/>
    <col min="5" max="5" width="12.7109375" style="24" bestFit="1" customWidth="1"/>
    <col min="6" max="6" width="13.85546875" style="24" customWidth="1"/>
    <col min="7" max="7" width="13.28515625" style="24" bestFit="1" customWidth="1"/>
    <col min="8" max="8" width="13.28515625" style="24" customWidth="1"/>
    <col min="9" max="9" width="14" style="24" bestFit="1" customWidth="1"/>
    <col min="10" max="10" width="4.7109375" style="24" customWidth="1"/>
    <col min="11" max="12" width="12.140625" style="24" customWidth="1"/>
    <col min="13" max="13" width="14.7109375" style="24" customWidth="1"/>
    <col min="14" max="16384" width="9.140625" style="24"/>
  </cols>
  <sheetData>
    <row r="1" spans="1:10">
      <c r="B1" s="25" t="s">
        <v>100</v>
      </c>
      <c r="C1" s="25"/>
      <c r="F1" s="26"/>
      <c r="G1" s="26"/>
      <c r="H1" s="26"/>
      <c r="I1" s="27"/>
    </row>
    <row r="2" spans="1:10" s="28" customFormat="1" ht="15">
      <c r="A2" s="28">
        <v>1</v>
      </c>
      <c r="B2" s="30"/>
      <c r="D2" s="30"/>
      <c r="F2" s="89"/>
      <c r="G2" s="89"/>
      <c r="H2" s="89"/>
    </row>
    <row r="3" spans="1:10" s="28" customFormat="1">
      <c r="B3" s="31"/>
      <c r="C3" s="32"/>
      <c r="D3" s="14" t="s">
        <v>77</v>
      </c>
      <c r="E3" s="33" t="str">
        <f>D3</f>
        <v>FFY 2016</v>
      </c>
      <c r="F3" s="33" t="s">
        <v>77</v>
      </c>
      <c r="G3" s="33" t="s">
        <v>77</v>
      </c>
      <c r="H3" s="109">
        <v>2020</v>
      </c>
      <c r="I3" s="33">
        <v>2020</v>
      </c>
    </row>
    <row r="4" spans="1:10" s="28" customFormat="1">
      <c r="B4" s="34"/>
      <c r="C4" s="35"/>
      <c r="D4" s="13" t="s">
        <v>36</v>
      </c>
      <c r="E4" s="13" t="str">
        <f>D4</f>
        <v>Medicaid</v>
      </c>
      <c r="F4" s="13" t="s">
        <v>36</v>
      </c>
      <c r="G4" s="13" t="s">
        <v>36</v>
      </c>
      <c r="H4" s="39" t="s">
        <v>1</v>
      </c>
      <c r="I4" s="13" t="s">
        <v>80</v>
      </c>
    </row>
    <row r="5" spans="1:10" s="28" customFormat="1">
      <c r="B5" s="36" t="s">
        <v>4</v>
      </c>
      <c r="C5" s="37" t="s">
        <v>35</v>
      </c>
      <c r="D5" s="13" t="s">
        <v>37</v>
      </c>
      <c r="E5" s="13" t="str">
        <f>D5</f>
        <v>Inpatient</v>
      </c>
      <c r="F5" s="13" t="s">
        <v>37</v>
      </c>
      <c r="G5" s="38" t="s">
        <v>37</v>
      </c>
      <c r="H5" s="159">
        <f>'2020 Detail'!D6</f>
        <v>229729638.04743049</v>
      </c>
      <c r="I5" s="113">
        <f>'2020 Detail'!D7</f>
        <v>95100297.019603238</v>
      </c>
    </row>
    <row r="6" spans="1:10" s="28" customFormat="1">
      <c r="B6" s="39"/>
      <c r="C6" s="13"/>
      <c r="D6" s="13" t="s">
        <v>67</v>
      </c>
      <c r="E6" s="13" t="s">
        <v>67</v>
      </c>
      <c r="F6" s="13" t="s">
        <v>68</v>
      </c>
      <c r="G6" s="13" t="s">
        <v>68</v>
      </c>
      <c r="H6" s="39" t="s">
        <v>3</v>
      </c>
      <c r="I6" s="13" t="s">
        <v>3</v>
      </c>
    </row>
    <row r="7" spans="1:10" s="28" customFormat="1">
      <c r="B7" s="39"/>
      <c r="C7" s="13"/>
      <c r="D7" s="13" t="s">
        <v>69</v>
      </c>
      <c r="E7" s="13" t="str">
        <f>D7</f>
        <v>Revenue</v>
      </c>
      <c r="F7" s="13" t="s">
        <v>70</v>
      </c>
      <c r="G7" s="13" t="s">
        <v>69</v>
      </c>
      <c r="H7" s="39" t="s">
        <v>0</v>
      </c>
      <c r="I7" s="13" t="s">
        <v>0</v>
      </c>
    </row>
    <row r="8" spans="1:10" s="28" customFormat="1">
      <c r="B8" s="39"/>
      <c r="C8" s="13"/>
      <c r="D8" s="35"/>
      <c r="E8" s="38" t="s">
        <v>38</v>
      </c>
      <c r="F8" s="113">
        <v>80000000</v>
      </c>
      <c r="G8" s="38" t="s">
        <v>38</v>
      </c>
      <c r="H8" s="110"/>
      <c r="I8" s="38"/>
    </row>
    <row r="9" spans="1:10" s="28" customFormat="1" ht="17.25">
      <c r="A9" s="40" t="s">
        <v>8</v>
      </c>
      <c r="B9" s="41" t="s">
        <v>8</v>
      </c>
      <c r="C9" s="42" t="s">
        <v>40</v>
      </c>
      <c r="D9" s="56">
        <v>13845930</v>
      </c>
      <c r="E9" s="57">
        <f t="shared" ref="E9:E34" si="0">D9/D$35</f>
        <v>2.279197145767034E-2</v>
      </c>
      <c r="F9" s="91">
        <f t="shared" ref="F9:F34" si="1">IF(D9&gt;F$8,F$8,ROUND(D9,0))</f>
        <v>13845930</v>
      </c>
      <c r="G9" s="94">
        <f t="shared" ref="G9:G34" si="2">F9/F$35</f>
        <v>2.6452995233381536E-2</v>
      </c>
      <c r="H9" s="91">
        <f>$H$5*G9</f>
        <v>6077037.0202351445</v>
      </c>
      <c r="I9" s="111">
        <f>E9*$I$5</f>
        <v>2167523.2552867685</v>
      </c>
      <c r="J9" s="59"/>
    </row>
    <row r="10" spans="1:10" s="28" customFormat="1" ht="17.25">
      <c r="A10" s="40" t="s">
        <v>9</v>
      </c>
      <c r="B10" s="44" t="s">
        <v>9</v>
      </c>
      <c r="C10" s="45" t="s">
        <v>41</v>
      </c>
      <c r="D10" s="60">
        <v>51084429</v>
      </c>
      <c r="E10" s="61">
        <f t="shared" si="0"/>
        <v>8.4090765134547621E-2</v>
      </c>
      <c r="F10" s="92">
        <f t="shared" si="1"/>
        <v>51084429</v>
      </c>
      <c r="G10" s="95">
        <f t="shared" si="2"/>
        <v>9.7598078051601991E-2</v>
      </c>
      <c r="H10" s="92">
        <f t="shared" ref="H10:H34" si="3">$H$5*G10</f>
        <v>22421171.144919395</v>
      </c>
      <c r="I10" s="112">
        <f t="shared" ref="I10:I34" si="4">E10*$I$5</f>
        <v>7997056.740901175</v>
      </c>
      <c r="J10" s="59"/>
    </row>
    <row r="11" spans="1:10" s="28" customFormat="1" ht="17.25">
      <c r="A11" s="40" t="s">
        <v>10</v>
      </c>
      <c r="B11" s="44" t="s">
        <v>10</v>
      </c>
      <c r="C11" s="45" t="s">
        <v>42</v>
      </c>
      <c r="D11" s="60">
        <v>8522358</v>
      </c>
      <c r="E11" s="61">
        <f t="shared" si="0"/>
        <v>1.4028768041442393E-2</v>
      </c>
      <c r="F11" s="92">
        <f t="shared" si="1"/>
        <v>8522358</v>
      </c>
      <c r="G11" s="95">
        <f t="shared" si="2"/>
        <v>1.6282177907238519E-2</v>
      </c>
      <c r="H11" s="92">
        <f t="shared" si="3"/>
        <v>3740498.8372537741</v>
      </c>
      <c r="I11" s="112">
        <f t="shared" si="4"/>
        <v>1334140.0075602892</v>
      </c>
      <c r="J11" s="59"/>
    </row>
    <row r="12" spans="1:10" s="28" customFormat="1" ht="17.25">
      <c r="A12" s="46" t="s">
        <v>71</v>
      </c>
      <c r="B12" s="44" t="s">
        <v>11</v>
      </c>
      <c r="C12" s="45" t="s">
        <v>43</v>
      </c>
      <c r="D12" s="60">
        <v>20705832</v>
      </c>
      <c r="E12" s="61">
        <f t="shared" si="0"/>
        <v>3.4084148334659871E-2</v>
      </c>
      <c r="F12" s="92">
        <f t="shared" si="1"/>
        <v>20705832</v>
      </c>
      <c r="G12" s="95">
        <f t="shared" si="2"/>
        <v>3.9559009412816537E-2</v>
      </c>
      <c r="H12" s="92">
        <f t="shared" si="3"/>
        <v>9087876.9139212389</v>
      </c>
      <c r="I12" s="112">
        <f t="shared" si="4"/>
        <v>3241412.6302863685</v>
      </c>
      <c r="J12" s="59"/>
    </row>
    <row r="13" spans="1:10" s="28" customFormat="1" ht="17.25">
      <c r="A13" s="40" t="s">
        <v>12</v>
      </c>
      <c r="B13" s="44" t="s">
        <v>12</v>
      </c>
      <c r="C13" s="45" t="s">
        <v>44</v>
      </c>
      <c r="D13" s="60">
        <v>5891931</v>
      </c>
      <c r="E13" s="61">
        <f t="shared" si="0"/>
        <v>9.6987868046828976E-3</v>
      </c>
      <c r="F13" s="92">
        <f t="shared" si="1"/>
        <v>5891931</v>
      </c>
      <c r="G13" s="95">
        <f t="shared" si="2"/>
        <v>1.1256681397234632E-2</v>
      </c>
      <c r="H13" s="92">
        <f t="shared" si="3"/>
        <v>2585993.3430019561</v>
      </c>
      <c r="I13" s="112">
        <f t="shared" si="4"/>
        <v>922357.50585515215</v>
      </c>
      <c r="J13" s="59"/>
    </row>
    <row r="14" spans="1:10" s="28" customFormat="1" ht="17.25">
      <c r="A14" s="40" t="s">
        <v>13</v>
      </c>
      <c r="B14" s="44" t="s">
        <v>13</v>
      </c>
      <c r="C14" s="45" t="s">
        <v>45</v>
      </c>
      <c r="D14" s="60">
        <v>3143611</v>
      </c>
      <c r="E14" s="61">
        <f t="shared" si="0"/>
        <v>5.1747403161808937E-3</v>
      </c>
      <c r="F14" s="92">
        <f t="shared" si="1"/>
        <v>3143611</v>
      </c>
      <c r="G14" s="95">
        <f t="shared" si="2"/>
        <v>6.0059473649372603E-3</v>
      </c>
      <c r="H14" s="92">
        <f t="shared" si="3"/>
        <v>1379744.1142789556</v>
      </c>
      <c r="I14" s="112">
        <f t="shared" si="4"/>
        <v>492119.34106811858</v>
      </c>
      <c r="J14" s="59"/>
    </row>
    <row r="15" spans="1:10" s="28" customFormat="1" ht="17.25">
      <c r="A15" s="40" t="s">
        <v>14</v>
      </c>
      <c r="B15" s="44" t="s">
        <v>14</v>
      </c>
      <c r="C15" s="45" t="s">
        <v>46</v>
      </c>
      <c r="D15" s="60">
        <v>8415128</v>
      </c>
      <c r="E15" s="61">
        <f t="shared" si="0"/>
        <v>1.3852255297307043E-2</v>
      </c>
      <c r="F15" s="92">
        <f t="shared" si="1"/>
        <v>8415128</v>
      </c>
      <c r="G15" s="95">
        <f t="shared" si="2"/>
        <v>1.6077312312881512E-2</v>
      </c>
      <c r="H15" s="92">
        <f t="shared" si="3"/>
        <v>3693435.1384137673</v>
      </c>
      <c r="I15" s="112">
        <f t="shared" si="4"/>
        <v>1317353.5931652721</v>
      </c>
      <c r="J15" s="59"/>
    </row>
    <row r="16" spans="1:10" s="28" customFormat="1" ht="17.25">
      <c r="A16" s="40" t="s">
        <v>15</v>
      </c>
      <c r="B16" s="44" t="s">
        <v>15</v>
      </c>
      <c r="C16" s="45" t="s">
        <v>47</v>
      </c>
      <c r="D16" s="60">
        <v>74281238</v>
      </c>
      <c r="E16" s="61">
        <f t="shared" si="0"/>
        <v>0.12227534418680562</v>
      </c>
      <c r="F16" s="92">
        <f t="shared" si="1"/>
        <v>74281238</v>
      </c>
      <c r="G16" s="95">
        <f t="shared" si="2"/>
        <v>0.14191616126498396</v>
      </c>
      <c r="H16" s="92">
        <f t="shared" si="3"/>
        <v>32602348.360485539</v>
      </c>
      <c r="I16" s="112">
        <f t="shared" si="4"/>
        <v>11628421.550339431</v>
      </c>
      <c r="J16" s="59"/>
    </row>
    <row r="17" spans="1:10" s="28" customFormat="1" ht="17.25">
      <c r="A17" s="40" t="s">
        <v>72</v>
      </c>
      <c r="B17" s="47" t="s">
        <v>16</v>
      </c>
      <c r="C17" s="48" t="s">
        <v>48</v>
      </c>
      <c r="D17" s="60">
        <v>20767567</v>
      </c>
      <c r="E17" s="61">
        <f t="shared" si="0"/>
        <v>3.4185771147857633E-2</v>
      </c>
      <c r="F17" s="92">
        <f t="shared" si="1"/>
        <v>20767567</v>
      </c>
      <c r="G17" s="95">
        <f t="shared" si="2"/>
        <v>3.9676955672889556E-2</v>
      </c>
      <c r="H17" s="92">
        <f t="shared" si="3"/>
        <v>9114972.6655568611</v>
      </c>
      <c r="I17" s="112">
        <f t="shared" si="4"/>
        <v>3251076.9900054433</v>
      </c>
      <c r="J17" s="59"/>
    </row>
    <row r="18" spans="1:10" s="28" customFormat="1" ht="17.25">
      <c r="A18" s="40" t="s">
        <v>17</v>
      </c>
      <c r="B18" s="44" t="s">
        <v>17</v>
      </c>
      <c r="C18" s="45" t="s">
        <v>49</v>
      </c>
      <c r="D18" s="60">
        <v>5495647</v>
      </c>
      <c r="E18" s="61">
        <f t="shared" si="0"/>
        <v>9.0464583863584195E-3</v>
      </c>
      <c r="F18" s="92">
        <f t="shared" si="1"/>
        <v>5495647</v>
      </c>
      <c r="G18" s="95">
        <f t="shared" si="2"/>
        <v>1.0499570913282642E-2</v>
      </c>
      <c r="H18" s="92">
        <f t="shared" si="3"/>
        <v>2412062.6255617505</v>
      </c>
      <c r="I18" s="112">
        <f t="shared" si="4"/>
        <v>860320.8795181663</v>
      </c>
      <c r="J18" s="59"/>
    </row>
    <row r="19" spans="1:10" s="28" customFormat="1" ht="17.25">
      <c r="A19" s="40" t="s">
        <v>18</v>
      </c>
      <c r="B19" s="44" t="s">
        <v>18</v>
      </c>
      <c r="C19" s="45" t="s">
        <v>50</v>
      </c>
      <c r="D19" s="60">
        <v>3771267</v>
      </c>
      <c r="E19" s="61">
        <f t="shared" si="0"/>
        <v>6.2079332932677006E-3</v>
      </c>
      <c r="F19" s="92">
        <f t="shared" si="1"/>
        <v>3771267</v>
      </c>
      <c r="G19" s="95">
        <f t="shared" si="2"/>
        <v>7.2050998361835638E-3</v>
      </c>
      <c r="H19" s="92">
        <f t="shared" si="3"/>
        <v>1655224.9774620507</v>
      </c>
      <c r="I19" s="112">
        <f t="shared" si="4"/>
        <v>590376.30006764201</v>
      </c>
      <c r="J19" s="59"/>
    </row>
    <row r="20" spans="1:10" s="28" customFormat="1" ht="17.25">
      <c r="A20" s="40" t="s">
        <v>73</v>
      </c>
      <c r="B20" s="47" t="s">
        <v>19</v>
      </c>
      <c r="C20" s="48" t="s">
        <v>51</v>
      </c>
      <c r="D20" s="60">
        <v>17445509</v>
      </c>
      <c r="E20" s="61">
        <f t="shared" si="0"/>
        <v>2.8717286826708717E-2</v>
      </c>
      <c r="F20" s="92">
        <f t="shared" si="1"/>
        <v>17445509</v>
      </c>
      <c r="G20" s="95">
        <f t="shared" si="2"/>
        <v>3.3330080855595447E-2</v>
      </c>
      <c r="H20" s="92">
        <f t="shared" si="3"/>
        <v>7656907.4110475341</v>
      </c>
      <c r="I20" s="112">
        <f t="shared" si="4"/>
        <v>2731022.5068171383</v>
      </c>
      <c r="J20" s="59"/>
    </row>
    <row r="21" spans="1:10" s="28" customFormat="1" ht="17.25">
      <c r="A21" s="40" t="s">
        <v>20</v>
      </c>
      <c r="B21" s="44" t="s">
        <v>20</v>
      </c>
      <c r="C21" s="45" t="s">
        <v>52</v>
      </c>
      <c r="D21" s="60">
        <v>12202801</v>
      </c>
      <c r="E21" s="61">
        <f t="shared" si="0"/>
        <v>2.0087194727665899E-2</v>
      </c>
      <c r="F21" s="92">
        <f t="shared" si="1"/>
        <v>12202801</v>
      </c>
      <c r="G21" s="95">
        <f t="shared" si="2"/>
        <v>2.331375622200195E-2</v>
      </c>
      <c r="H21" s="92">
        <f t="shared" si="3"/>
        <v>5355860.7784065381</v>
      </c>
      <c r="I21" s="112">
        <f t="shared" si="4"/>
        <v>1910298.1848916351</v>
      </c>
      <c r="J21" s="59"/>
    </row>
    <row r="22" spans="1:10" s="28" customFormat="1" ht="17.25">
      <c r="A22" s="40" t="s">
        <v>21</v>
      </c>
      <c r="B22" s="44" t="s">
        <v>21</v>
      </c>
      <c r="C22" s="45" t="s">
        <v>54</v>
      </c>
      <c r="D22" s="60">
        <v>9560997</v>
      </c>
      <c r="E22" s="61">
        <f t="shared" si="0"/>
        <v>1.5738485658303325E-2</v>
      </c>
      <c r="F22" s="92">
        <f t="shared" si="1"/>
        <v>9560997</v>
      </c>
      <c r="G22" s="95">
        <f t="shared" si="2"/>
        <v>1.8266523669220859E-2</v>
      </c>
      <c r="H22" s="92">
        <f t="shared" si="3"/>
        <v>4196361.8709149295</v>
      </c>
      <c r="I22" s="112">
        <f t="shared" si="4"/>
        <v>1496734.6607434121</v>
      </c>
      <c r="J22" s="59"/>
    </row>
    <row r="23" spans="1:10" s="28" customFormat="1" ht="17.25">
      <c r="A23" s="40" t="s">
        <v>22</v>
      </c>
      <c r="B23" s="44" t="s">
        <v>22</v>
      </c>
      <c r="C23" s="45" t="s">
        <v>53</v>
      </c>
      <c r="D23" s="60">
        <v>12981508</v>
      </c>
      <c r="E23" s="61">
        <f t="shared" si="0"/>
        <v>2.1369034785927648E-2</v>
      </c>
      <c r="F23" s="92">
        <f t="shared" si="1"/>
        <v>12981508</v>
      </c>
      <c r="G23" s="95">
        <f t="shared" si="2"/>
        <v>2.4801495403060991E-2</v>
      </c>
      <c r="H23" s="92">
        <f t="shared" si="3"/>
        <v>5697638.5619802121</v>
      </c>
      <c r="I23" s="112">
        <f t="shared" si="4"/>
        <v>2032201.555163953</v>
      </c>
      <c r="J23" s="59"/>
    </row>
    <row r="24" spans="1:10" s="28" customFormat="1" ht="17.25">
      <c r="A24" s="40" t="s">
        <v>23</v>
      </c>
      <c r="B24" s="44" t="s">
        <v>23</v>
      </c>
      <c r="C24" s="45" t="s">
        <v>55</v>
      </c>
      <c r="D24" s="60">
        <v>1350019</v>
      </c>
      <c r="E24" s="61">
        <f t="shared" si="0"/>
        <v>2.2222844197040325E-3</v>
      </c>
      <c r="F24" s="92">
        <f t="shared" si="1"/>
        <v>1350019</v>
      </c>
      <c r="G24" s="95">
        <f t="shared" si="2"/>
        <v>2.5792450324372946E-3</v>
      </c>
      <c r="H24" s="92">
        <f t="shared" si="3"/>
        <v>592529.02773745276</v>
      </c>
      <c r="I24" s="112">
        <f t="shared" si="4"/>
        <v>211339.90837589011</v>
      </c>
      <c r="J24" s="59"/>
    </row>
    <row r="25" spans="1:10" s="28" customFormat="1" ht="17.25">
      <c r="A25" s="40" t="s">
        <v>24</v>
      </c>
      <c r="B25" s="44" t="s">
        <v>24</v>
      </c>
      <c r="C25" s="45" t="s">
        <v>56</v>
      </c>
      <c r="D25" s="60">
        <v>20010413</v>
      </c>
      <c r="E25" s="61">
        <f t="shared" si="0"/>
        <v>3.2939409772560997E-2</v>
      </c>
      <c r="F25" s="92">
        <f t="shared" si="1"/>
        <v>20010413</v>
      </c>
      <c r="G25" s="95">
        <f t="shared" si="2"/>
        <v>3.8230394036875524E-2</v>
      </c>
      <c r="H25" s="92">
        <f t="shared" si="3"/>
        <v>8782654.5845020581</v>
      </c>
      <c r="I25" s="112">
        <f t="shared" si="4"/>
        <v>3132547.6530209724</v>
      </c>
      <c r="J25" s="59"/>
    </row>
    <row r="26" spans="1:10" s="28" customFormat="1" ht="17.25">
      <c r="A26" s="40" t="s">
        <v>25</v>
      </c>
      <c r="B26" s="44" t="s">
        <v>25</v>
      </c>
      <c r="C26" s="45" t="s">
        <v>57</v>
      </c>
      <c r="D26" s="60">
        <v>1950318</v>
      </c>
      <c r="E26" s="61">
        <f t="shared" si="0"/>
        <v>3.2104446714219053E-3</v>
      </c>
      <c r="F26" s="92">
        <f t="shared" si="1"/>
        <v>1950318</v>
      </c>
      <c r="G26" s="95">
        <f t="shared" si="2"/>
        <v>3.7261312716139841E-3</v>
      </c>
      <c r="H26" s="92">
        <f t="shared" si="3"/>
        <v>856002.78834509244</v>
      </c>
      <c r="I26" s="112">
        <f t="shared" si="4"/>
        <v>305314.2418172257</v>
      </c>
      <c r="J26" s="59"/>
    </row>
    <row r="27" spans="1:10" s="28" customFormat="1" ht="17.25">
      <c r="A27" s="40" t="s">
        <v>26</v>
      </c>
      <c r="B27" s="44" t="s">
        <v>26</v>
      </c>
      <c r="C27" s="45" t="s">
        <v>59</v>
      </c>
      <c r="D27" s="60">
        <v>54544225</v>
      </c>
      <c r="E27" s="61">
        <f t="shared" si="0"/>
        <v>8.978598182864922E-2</v>
      </c>
      <c r="F27" s="92">
        <f t="shared" si="1"/>
        <v>54544225</v>
      </c>
      <c r="G27" s="95">
        <f t="shared" si="2"/>
        <v>0.10420810475955677</v>
      </c>
      <c r="H27" s="92">
        <f t="shared" si="3"/>
        <v>23939690.188021697</v>
      </c>
      <c r="I27" s="112">
        <f t="shared" si="4"/>
        <v>8538673.5401012395</v>
      </c>
      <c r="J27" s="59"/>
    </row>
    <row r="28" spans="1:10" s="28" customFormat="1" ht="17.25">
      <c r="A28" s="40" t="s">
        <v>27</v>
      </c>
      <c r="B28" s="44" t="s">
        <v>27</v>
      </c>
      <c r="C28" s="45" t="s">
        <v>60</v>
      </c>
      <c r="D28" s="60">
        <v>21746068</v>
      </c>
      <c r="E28" s="61">
        <f t="shared" si="0"/>
        <v>3.5796494794683949E-2</v>
      </c>
      <c r="F28" s="92">
        <f t="shared" si="1"/>
        <v>21746068</v>
      </c>
      <c r="G28" s="95">
        <f t="shared" si="2"/>
        <v>4.1546406283203136E-2</v>
      </c>
      <c r="H28" s="92">
        <f t="shared" si="3"/>
        <v>9544440.8776117489</v>
      </c>
      <c r="I28" s="112">
        <f t="shared" si="4"/>
        <v>3404257.287235125</v>
      </c>
      <c r="J28" s="59"/>
    </row>
    <row r="29" spans="1:10" s="28" customFormat="1" ht="17.25">
      <c r="A29" s="40" t="s">
        <v>28</v>
      </c>
      <c r="B29" s="44" t="s">
        <v>28</v>
      </c>
      <c r="C29" s="45" t="s">
        <v>61</v>
      </c>
      <c r="D29" s="60">
        <v>37313514</v>
      </c>
      <c r="E29" s="61">
        <f t="shared" si="0"/>
        <v>6.1422276876553807E-2</v>
      </c>
      <c r="F29" s="92">
        <f t="shared" si="1"/>
        <v>37313514</v>
      </c>
      <c r="G29" s="95">
        <f t="shared" si="2"/>
        <v>7.1288400850120948E-2</v>
      </c>
      <c r="H29" s="92">
        <f t="shared" si="3"/>
        <v>16377058.524278421</v>
      </c>
      <c r="I29" s="112">
        <f t="shared" si="4"/>
        <v>5841276.7745805746</v>
      </c>
      <c r="J29" s="59"/>
    </row>
    <row r="30" spans="1:10" s="28" customFormat="1" ht="17.25">
      <c r="A30" s="40" t="s">
        <v>29</v>
      </c>
      <c r="B30" s="44" t="s">
        <v>29</v>
      </c>
      <c r="C30" s="45" t="s">
        <v>58</v>
      </c>
      <c r="D30" s="60">
        <v>1057016</v>
      </c>
      <c r="E30" s="61">
        <f t="shared" si="0"/>
        <v>1.739968243541667E-3</v>
      </c>
      <c r="F30" s="92">
        <f t="shared" si="1"/>
        <v>1057016</v>
      </c>
      <c r="G30" s="95">
        <f t="shared" si="2"/>
        <v>2.0194554796686115E-3</v>
      </c>
      <c r="H30" s="92">
        <f t="shared" si="3"/>
        <v>463928.77639717027</v>
      </c>
      <c r="I30" s="112">
        <f t="shared" si="4"/>
        <v>165471.49676548986</v>
      </c>
      <c r="J30" s="59"/>
    </row>
    <row r="31" spans="1:10" s="28" customFormat="1" ht="17.25">
      <c r="A31" s="40" t="s">
        <v>30</v>
      </c>
      <c r="B31" s="44" t="s">
        <v>30</v>
      </c>
      <c r="C31" s="45" t="s">
        <v>62</v>
      </c>
      <c r="D31" s="60">
        <v>14434839</v>
      </c>
      <c r="E31" s="61">
        <f t="shared" si="0"/>
        <v>2.3761382477310421E-2</v>
      </c>
      <c r="F31" s="92">
        <f t="shared" si="1"/>
        <v>14434839</v>
      </c>
      <c r="G31" s="95">
        <f t="shared" si="2"/>
        <v>2.7578120592956189E-2</v>
      </c>
      <c r="H31" s="92">
        <f t="shared" si="3"/>
        <v>6335511.6618482145</v>
      </c>
      <c r="I31" s="112">
        <f t="shared" si="4"/>
        <v>2259714.531188617</v>
      </c>
      <c r="J31" s="59"/>
    </row>
    <row r="32" spans="1:10" s="28" customFormat="1" ht="17.25">
      <c r="A32" s="40" t="s">
        <v>31</v>
      </c>
      <c r="B32" s="44" t="s">
        <v>31</v>
      </c>
      <c r="C32" s="45" t="s">
        <v>63</v>
      </c>
      <c r="D32" s="60">
        <v>20681987</v>
      </c>
      <c r="E32" s="61">
        <f t="shared" si="0"/>
        <v>3.4044896759691044E-2</v>
      </c>
      <c r="F32" s="92">
        <f t="shared" si="1"/>
        <v>20681987</v>
      </c>
      <c r="G32" s="95">
        <f t="shared" si="2"/>
        <v>3.9513452944501301E-2</v>
      </c>
      <c r="H32" s="92">
        <f t="shared" si="3"/>
        <v>9077411.2429444604</v>
      </c>
      <c r="I32" s="112">
        <f t="shared" si="4"/>
        <v>3237679.793848346</v>
      </c>
      <c r="J32" s="59"/>
    </row>
    <row r="33" spans="1:13" s="28" customFormat="1" ht="17.25">
      <c r="A33" s="40" t="s">
        <v>32</v>
      </c>
      <c r="B33" s="44" t="s">
        <v>32</v>
      </c>
      <c r="C33" s="45" t="s">
        <v>64</v>
      </c>
      <c r="D33" s="60">
        <v>2212190</v>
      </c>
      <c r="E33" s="61">
        <f t="shared" si="0"/>
        <v>3.6415156900940385E-3</v>
      </c>
      <c r="F33" s="92">
        <f t="shared" si="1"/>
        <v>2212190</v>
      </c>
      <c r="G33" s="95">
        <f t="shared" si="2"/>
        <v>4.226444271012081E-3</v>
      </c>
      <c r="H33" s="92">
        <f t="shared" si="3"/>
        <v>970939.51260724163</v>
      </c>
      <c r="I33" s="112">
        <f t="shared" si="4"/>
        <v>346309.2237294885</v>
      </c>
      <c r="J33" s="59"/>
    </row>
    <row r="34" spans="1:13" s="28" customFormat="1" ht="17.25">
      <c r="A34" s="40" t="s">
        <v>33</v>
      </c>
      <c r="B34" s="49" t="s">
        <v>33</v>
      </c>
      <c r="C34" s="50" t="s">
        <v>65</v>
      </c>
      <c r="D34" s="62">
        <v>164075205</v>
      </c>
      <c r="E34" s="63">
        <f t="shared" si="0"/>
        <v>0.27008640006640289</v>
      </c>
      <c r="F34" s="93">
        <f t="shared" si="1"/>
        <v>80000000</v>
      </c>
      <c r="G34" s="96">
        <f t="shared" si="2"/>
        <v>0.15284199896074319</v>
      </c>
      <c r="H34" s="93">
        <f t="shared" si="3"/>
        <v>35112337.099697277</v>
      </c>
      <c r="I34" s="64">
        <f t="shared" si="4"/>
        <v>25685296.867270302</v>
      </c>
      <c r="J34" s="59"/>
    </row>
    <row r="35" spans="1:13" s="29" customFormat="1" ht="15" customHeight="1">
      <c r="A35" s="29" t="s">
        <v>66</v>
      </c>
      <c r="B35" s="51" t="s">
        <v>66</v>
      </c>
      <c r="C35" s="52"/>
      <c r="D35" s="62">
        <f t="shared" ref="D35:E35" si="5">SUM(D9:D34)</f>
        <v>607491547</v>
      </c>
      <c r="E35" s="65">
        <f t="shared" si="5"/>
        <v>1</v>
      </c>
      <c r="F35" s="66">
        <f t="shared" ref="F35:I35" si="6">SUM(F9:F34)</f>
        <v>523416342</v>
      </c>
      <c r="G35" s="90">
        <f t="shared" si="6"/>
        <v>1</v>
      </c>
      <c r="H35" s="66">
        <f t="shared" si="6"/>
        <v>229729638.04743052</v>
      </c>
      <c r="I35" s="66">
        <f t="shared" si="6"/>
        <v>95100297.019603238</v>
      </c>
      <c r="J35" s="68"/>
      <c r="K35" s="53"/>
      <c r="L35" s="53"/>
      <c r="M35" s="54"/>
    </row>
    <row r="36" spans="1:13" s="28" customFormat="1">
      <c r="D36" s="55"/>
      <c r="F36" s="43"/>
      <c r="G36" s="43"/>
      <c r="H36" s="43"/>
      <c r="I36" s="43"/>
    </row>
    <row r="37" spans="1:13" s="28" customFormat="1"/>
    <row r="38" spans="1:13" s="28" customFormat="1"/>
    <row r="39" spans="1:13" s="28" customFormat="1"/>
    <row r="40" spans="1:13" s="28" customFormat="1"/>
    <row r="41" spans="1:13" s="28" customFormat="1"/>
    <row r="42" spans="1:13" s="28" customFormat="1"/>
    <row r="43" spans="1:13" s="28" customFormat="1"/>
    <row r="44" spans="1:13" s="28" customFormat="1"/>
    <row r="45" spans="1:13" s="28" customFormat="1"/>
    <row r="46" spans="1:13" s="28" customFormat="1"/>
    <row r="47" spans="1:13" s="28" customFormat="1"/>
    <row r="48" spans="1:13" s="28" customFormat="1"/>
    <row r="49" s="28" customFormat="1"/>
    <row r="50" s="28" customFormat="1"/>
    <row r="51" s="28" customFormat="1"/>
    <row r="52" s="28" customFormat="1"/>
  </sheetData>
  <conditionalFormatting sqref="F9:F34">
    <cfRule type="cellIs" dxfId="3" priority="2" operator="equal">
      <formula>#REF!</formula>
    </cfRule>
  </conditionalFormatting>
  <conditionalFormatting sqref="H9:H34">
    <cfRule type="cellIs" dxfId="2" priority="1" operator="equal">
      <formula>#REF!</formula>
    </cfRule>
  </conditionalFormatting>
  <pageMargins left="0.5" right="0.5" top="0.75" bottom="0.75" header="0.3" footer="0.3"/>
  <pageSetup scale="89" orientation="landscape" r:id="rId1"/>
  <headerFooter>
    <oddFooter>&amp;L&amp;8&amp;Z&amp;F   &amp;A</oddFooter>
  </headerFooter>
  <rowBreaks count="1" manualBreakCount="1">
    <brk id="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3"/>
  <sheetViews>
    <sheetView workbookViewId="0">
      <pane ySplit="11" topLeftCell="A15" activePane="bottomLeft" state="frozen"/>
      <selection activeCell="B1" sqref="B1"/>
      <selection pane="bottomLeft" activeCell="G23" sqref="G23"/>
    </sheetView>
  </sheetViews>
  <sheetFormatPr defaultRowHeight="15"/>
  <cols>
    <col min="1" max="1" width="14.85546875" style="10" bestFit="1" customWidth="1"/>
    <col min="2" max="2" width="10.85546875" style="10" bestFit="1" customWidth="1"/>
    <col min="3" max="3" width="11.7109375" style="10" bestFit="1" customWidth="1"/>
    <col min="4" max="4" width="9.140625" style="10"/>
    <col min="5" max="5" width="11.7109375" style="10" bestFit="1" customWidth="1"/>
    <col min="6" max="6" width="9.140625" style="10"/>
    <col min="7" max="7" width="13.85546875" style="10" bestFit="1" customWidth="1"/>
    <col min="8" max="9" width="10.7109375" style="10" bestFit="1" customWidth="1"/>
    <col min="10" max="16384" width="9.140625" style="10"/>
  </cols>
  <sheetData>
    <row r="2" spans="1:8">
      <c r="A2" s="16" t="s">
        <v>101</v>
      </c>
    </row>
    <row r="3" spans="1:8" hidden="1">
      <c r="A3" s="10" t="s">
        <v>86</v>
      </c>
    </row>
    <row r="4" spans="1:8" hidden="1">
      <c r="A4" s="10" t="s">
        <v>87</v>
      </c>
    </row>
    <row r="5" spans="1:8" hidden="1">
      <c r="A5" s="10" t="s">
        <v>88</v>
      </c>
    </row>
    <row r="7" spans="1:8">
      <c r="F7" s="117"/>
      <c r="G7" s="119"/>
      <c r="H7" s="122"/>
    </row>
    <row r="8" spans="1:8">
      <c r="A8" s="98"/>
      <c r="B8" s="99"/>
      <c r="C8" s="14" t="s">
        <v>77</v>
      </c>
      <c r="D8" s="14" t="s">
        <v>77</v>
      </c>
      <c r="E8" s="19"/>
      <c r="F8" s="114" t="s">
        <v>77</v>
      </c>
      <c r="G8" s="118" t="s">
        <v>85</v>
      </c>
      <c r="H8" s="122"/>
    </row>
    <row r="9" spans="1:8">
      <c r="A9" s="100" t="s">
        <v>4</v>
      </c>
      <c r="B9" s="37" t="s">
        <v>35</v>
      </c>
      <c r="C9" s="13" t="s">
        <v>36</v>
      </c>
      <c r="D9" s="13" t="s">
        <v>36</v>
      </c>
      <c r="E9" s="13" t="s">
        <v>68</v>
      </c>
      <c r="F9" s="39" t="s">
        <v>36</v>
      </c>
      <c r="G9" s="116">
        <f>'2020 Detail'!D5</f>
        <v>9041755.1483024508</v>
      </c>
      <c r="H9" s="122"/>
    </row>
    <row r="10" spans="1:8">
      <c r="A10" s="100"/>
      <c r="B10" s="37"/>
      <c r="C10" s="13" t="s">
        <v>37</v>
      </c>
      <c r="D10" s="13" t="s">
        <v>37</v>
      </c>
      <c r="E10" s="13" t="s">
        <v>70</v>
      </c>
      <c r="F10" s="39" t="s">
        <v>37</v>
      </c>
      <c r="G10" s="12" t="s">
        <v>3</v>
      </c>
    </row>
    <row r="11" spans="1:8">
      <c r="A11" s="101"/>
      <c r="B11" s="102"/>
      <c r="C11" s="5" t="s">
        <v>0</v>
      </c>
      <c r="D11" s="20" t="s">
        <v>38</v>
      </c>
      <c r="E11" s="87">
        <v>5000000</v>
      </c>
      <c r="F11" s="115" t="s">
        <v>79</v>
      </c>
      <c r="G11" s="21" t="s">
        <v>39</v>
      </c>
    </row>
    <row r="13" spans="1:8">
      <c r="A13" s="11" t="s">
        <v>8</v>
      </c>
      <c r="B13" s="11" t="s">
        <v>40</v>
      </c>
      <c r="C13" s="81">
        <v>0</v>
      </c>
      <c r="D13" s="82">
        <v>0</v>
      </c>
      <c r="E13" s="58">
        <f>IF(C13&gt;E$11,E$11,ROUND(C13,0))</f>
        <v>0</v>
      </c>
      <c r="F13" s="82">
        <f t="shared" ref="F13:F38" si="0">E13/$E$40</f>
        <v>0</v>
      </c>
      <c r="G13" s="83">
        <f>F13*$G$9</f>
        <v>0</v>
      </c>
    </row>
    <row r="14" spans="1:8">
      <c r="A14" s="11" t="s">
        <v>9</v>
      </c>
      <c r="B14" s="11" t="s">
        <v>41</v>
      </c>
      <c r="C14" s="81">
        <v>0</v>
      </c>
      <c r="D14" s="82">
        <v>0</v>
      </c>
      <c r="E14" s="58">
        <f t="shared" ref="E14:E38" si="1">IF(C14&gt;E$11,E$11,ROUND(C14,0))</f>
        <v>0</v>
      </c>
      <c r="F14" s="82">
        <f t="shared" si="0"/>
        <v>0</v>
      </c>
      <c r="G14" s="83">
        <f t="shared" ref="G14:G38" si="2">F14*$G$9</f>
        <v>0</v>
      </c>
    </row>
    <row r="15" spans="1:8">
      <c r="A15" s="11" t="s">
        <v>10</v>
      </c>
      <c r="B15" s="11" t="s">
        <v>42</v>
      </c>
      <c r="C15" s="81">
        <v>8522358</v>
      </c>
      <c r="D15" s="82">
        <f>C15/$C$40</f>
        <v>0.37330598499295886</v>
      </c>
      <c r="E15" s="58">
        <f t="shared" si="1"/>
        <v>5000000</v>
      </c>
      <c r="F15" s="82">
        <f>E15/$E$40</f>
        <v>0.33333333333333331</v>
      </c>
      <c r="G15" s="83">
        <f t="shared" si="2"/>
        <v>3013918.3827674836</v>
      </c>
    </row>
    <row r="16" spans="1:8">
      <c r="A16" s="11" t="s">
        <v>11</v>
      </c>
      <c r="B16" s="11" t="s">
        <v>43</v>
      </c>
      <c r="C16" s="81">
        <v>0</v>
      </c>
      <c r="D16" s="82">
        <v>0</v>
      </c>
      <c r="E16" s="58">
        <f t="shared" si="1"/>
        <v>0</v>
      </c>
      <c r="F16" s="82">
        <f t="shared" si="0"/>
        <v>0</v>
      </c>
      <c r="G16" s="83">
        <f t="shared" si="2"/>
        <v>0</v>
      </c>
    </row>
    <row r="17" spans="1:7">
      <c r="A17" s="11" t="s">
        <v>12</v>
      </c>
      <c r="B17" s="11" t="s">
        <v>44</v>
      </c>
      <c r="C17" s="81">
        <v>5891931</v>
      </c>
      <c r="D17" s="82">
        <f>C17/$C$40</f>
        <v>0.25808504001657162</v>
      </c>
      <c r="E17" s="58">
        <f t="shared" si="1"/>
        <v>5000000</v>
      </c>
      <c r="F17" s="82">
        <f t="shared" si="0"/>
        <v>0.33333333333333331</v>
      </c>
      <c r="G17" s="83">
        <f t="shared" si="2"/>
        <v>3013918.3827674836</v>
      </c>
    </row>
    <row r="18" spans="1:7">
      <c r="A18" s="11" t="s">
        <v>13</v>
      </c>
      <c r="B18" s="11" t="s">
        <v>45</v>
      </c>
      <c r="C18" s="81">
        <v>0</v>
      </c>
      <c r="D18" s="82">
        <v>0</v>
      </c>
      <c r="E18" s="58">
        <f t="shared" si="1"/>
        <v>0</v>
      </c>
      <c r="F18" s="82">
        <f t="shared" si="0"/>
        <v>0</v>
      </c>
      <c r="G18" s="83">
        <f t="shared" si="2"/>
        <v>0</v>
      </c>
    </row>
    <row r="19" spans="1:7">
      <c r="A19" s="11" t="s">
        <v>14</v>
      </c>
      <c r="B19" s="11" t="s">
        <v>46</v>
      </c>
      <c r="C19" s="81">
        <v>8415128</v>
      </c>
      <c r="D19" s="82">
        <f>C19/$C$40</f>
        <v>0.36860897499046952</v>
      </c>
      <c r="E19" s="58">
        <f t="shared" si="1"/>
        <v>5000000</v>
      </c>
      <c r="F19" s="82">
        <f t="shared" si="0"/>
        <v>0.33333333333333331</v>
      </c>
      <c r="G19" s="83">
        <f t="shared" si="2"/>
        <v>3013918.3827674836</v>
      </c>
    </row>
    <row r="20" spans="1:7">
      <c r="A20" s="11" t="s">
        <v>15</v>
      </c>
      <c r="B20" s="11" t="s">
        <v>47</v>
      </c>
      <c r="C20" s="81">
        <v>0</v>
      </c>
      <c r="D20" s="82">
        <v>0</v>
      </c>
      <c r="E20" s="58">
        <f t="shared" si="1"/>
        <v>0</v>
      </c>
      <c r="F20" s="82">
        <f t="shared" si="0"/>
        <v>0</v>
      </c>
      <c r="G20" s="83">
        <f t="shared" si="2"/>
        <v>0</v>
      </c>
    </row>
    <row r="21" spans="1:7">
      <c r="A21" s="11" t="s">
        <v>16</v>
      </c>
      <c r="B21" s="11" t="s">
        <v>48</v>
      </c>
      <c r="C21" s="81">
        <v>0</v>
      </c>
      <c r="D21" s="82">
        <v>0</v>
      </c>
      <c r="E21" s="58">
        <f t="shared" si="1"/>
        <v>0</v>
      </c>
      <c r="F21" s="82">
        <f t="shared" si="0"/>
        <v>0</v>
      </c>
      <c r="G21" s="83">
        <f t="shared" si="2"/>
        <v>0</v>
      </c>
    </row>
    <row r="22" spans="1:7">
      <c r="A22" s="11" t="s">
        <v>17</v>
      </c>
      <c r="B22" s="11" t="s">
        <v>49</v>
      </c>
      <c r="C22" s="81">
        <v>0</v>
      </c>
      <c r="D22" s="82">
        <f>C22/$C$40</f>
        <v>0</v>
      </c>
      <c r="E22" s="58">
        <f t="shared" si="1"/>
        <v>0</v>
      </c>
      <c r="F22" s="82">
        <f t="shared" si="0"/>
        <v>0</v>
      </c>
      <c r="G22" s="83">
        <f t="shared" si="2"/>
        <v>0</v>
      </c>
    </row>
    <row r="23" spans="1:7">
      <c r="A23" s="11" t="s">
        <v>18</v>
      </c>
      <c r="B23" s="11" t="s">
        <v>50</v>
      </c>
      <c r="C23" s="81">
        <v>0</v>
      </c>
      <c r="D23" s="82">
        <v>0</v>
      </c>
      <c r="E23" s="58">
        <f t="shared" si="1"/>
        <v>0</v>
      </c>
      <c r="F23" s="82">
        <f t="shared" si="0"/>
        <v>0</v>
      </c>
      <c r="G23" s="83">
        <f t="shared" si="2"/>
        <v>0</v>
      </c>
    </row>
    <row r="24" spans="1:7">
      <c r="A24" s="11" t="s">
        <v>19</v>
      </c>
      <c r="B24" s="11" t="s">
        <v>51</v>
      </c>
      <c r="C24" s="81">
        <v>0</v>
      </c>
      <c r="D24" s="82">
        <v>0</v>
      </c>
      <c r="E24" s="58">
        <f t="shared" si="1"/>
        <v>0</v>
      </c>
      <c r="F24" s="82">
        <f t="shared" si="0"/>
        <v>0</v>
      </c>
      <c r="G24" s="83">
        <f t="shared" si="2"/>
        <v>0</v>
      </c>
    </row>
    <row r="25" spans="1:7">
      <c r="A25" s="11" t="s">
        <v>20</v>
      </c>
      <c r="B25" s="11" t="s">
        <v>52</v>
      </c>
      <c r="C25" s="81">
        <v>0</v>
      </c>
      <c r="D25" s="82">
        <v>0</v>
      </c>
      <c r="E25" s="58">
        <f t="shared" si="1"/>
        <v>0</v>
      </c>
      <c r="F25" s="82">
        <f t="shared" si="0"/>
        <v>0</v>
      </c>
      <c r="G25" s="83">
        <f t="shared" si="2"/>
        <v>0</v>
      </c>
    </row>
    <row r="26" spans="1:7">
      <c r="A26" s="11" t="s">
        <v>22</v>
      </c>
      <c r="B26" s="11" t="s">
        <v>53</v>
      </c>
      <c r="C26" s="81">
        <v>0</v>
      </c>
      <c r="D26" s="82">
        <v>0</v>
      </c>
      <c r="E26" s="58">
        <f t="shared" si="1"/>
        <v>0</v>
      </c>
      <c r="F26" s="82">
        <f t="shared" si="0"/>
        <v>0</v>
      </c>
      <c r="G26" s="83">
        <f t="shared" si="2"/>
        <v>0</v>
      </c>
    </row>
    <row r="27" spans="1:7">
      <c r="A27" s="11" t="s">
        <v>21</v>
      </c>
      <c r="B27" s="11" t="s">
        <v>54</v>
      </c>
      <c r="C27" s="81">
        <v>0</v>
      </c>
      <c r="D27" s="82">
        <v>0</v>
      </c>
      <c r="E27" s="58">
        <f t="shared" si="1"/>
        <v>0</v>
      </c>
      <c r="F27" s="82">
        <f t="shared" si="0"/>
        <v>0</v>
      </c>
      <c r="G27" s="83">
        <f t="shared" si="2"/>
        <v>0</v>
      </c>
    </row>
    <row r="28" spans="1:7">
      <c r="A28" s="11" t="s">
        <v>23</v>
      </c>
      <c r="B28" s="11" t="s">
        <v>55</v>
      </c>
      <c r="C28" s="81">
        <v>0</v>
      </c>
      <c r="D28" s="82">
        <f>C28/$C$40</f>
        <v>0</v>
      </c>
      <c r="E28" s="58">
        <f t="shared" si="1"/>
        <v>0</v>
      </c>
      <c r="F28" s="82">
        <f t="shared" si="0"/>
        <v>0</v>
      </c>
      <c r="G28" s="83">
        <f t="shared" si="2"/>
        <v>0</v>
      </c>
    </row>
    <row r="29" spans="1:7">
      <c r="A29" s="11" t="s">
        <v>24</v>
      </c>
      <c r="B29" s="11" t="s">
        <v>56</v>
      </c>
      <c r="C29" s="81">
        <v>0</v>
      </c>
      <c r="D29" s="82">
        <v>0</v>
      </c>
      <c r="E29" s="58">
        <f t="shared" si="1"/>
        <v>0</v>
      </c>
      <c r="F29" s="82">
        <f t="shared" si="0"/>
        <v>0</v>
      </c>
      <c r="G29" s="83">
        <f t="shared" si="2"/>
        <v>0</v>
      </c>
    </row>
    <row r="30" spans="1:7">
      <c r="A30" s="11" t="s">
        <v>25</v>
      </c>
      <c r="B30" s="11" t="s">
        <v>57</v>
      </c>
      <c r="C30" s="81">
        <v>0</v>
      </c>
      <c r="D30" s="82">
        <v>0</v>
      </c>
      <c r="E30" s="58">
        <f t="shared" si="1"/>
        <v>0</v>
      </c>
      <c r="F30" s="82">
        <f t="shared" si="0"/>
        <v>0</v>
      </c>
      <c r="G30" s="83">
        <f t="shared" si="2"/>
        <v>0</v>
      </c>
    </row>
    <row r="31" spans="1:7">
      <c r="A31" s="11" t="s">
        <v>29</v>
      </c>
      <c r="B31" s="11" t="s">
        <v>58</v>
      </c>
      <c r="C31" s="81">
        <v>0</v>
      </c>
      <c r="D31" s="82">
        <v>0</v>
      </c>
      <c r="E31" s="58">
        <f t="shared" si="1"/>
        <v>0</v>
      </c>
      <c r="F31" s="82">
        <f t="shared" si="0"/>
        <v>0</v>
      </c>
      <c r="G31" s="83">
        <f t="shared" si="2"/>
        <v>0</v>
      </c>
    </row>
    <row r="32" spans="1:7">
      <c r="A32" s="11" t="s">
        <v>26</v>
      </c>
      <c r="B32" s="11" t="s">
        <v>59</v>
      </c>
      <c r="C32" s="81">
        <v>0</v>
      </c>
      <c r="D32" s="82">
        <v>0</v>
      </c>
      <c r="E32" s="58">
        <f t="shared" si="1"/>
        <v>0</v>
      </c>
      <c r="F32" s="82">
        <f t="shared" si="0"/>
        <v>0</v>
      </c>
      <c r="G32" s="83">
        <f t="shared" si="2"/>
        <v>0</v>
      </c>
    </row>
    <row r="33" spans="1:7">
      <c r="A33" s="11" t="s">
        <v>27</v>
      </c>
      <c r="B33" s="11" t="s">
        <v>60</v>
      </c>
      <c r="C33" s="81">
        <v>0</v>
      </c>
      <c r="D33" s="82">
        <v>0</v>
      </c>
      <c r="E33" s="58">
        <f t="shared" si="1"/>
        <v>0</v>
      </c>
      <c r="F33" s="82">
        <f t="shared" si="0"/>
        <v>0</v>
      </c>
      <c r="G33" s="83">
        <f t="shared" si="2"/>
        <v>0</v>
      </c>
    </row>
    <row r="34" spans="1:7">
      <c r="A34" s="11" t="s">
        <v>28</v>
      </c>
      <c r="B34" s="11" t="s">
        <v>61</v>
      </c>
      <c r="C34" s="81">
        <v>0</v>
      </c>
      <c r="D34" s="82">
        <v>0</v>
      </c>
      <c r="E34" s="58">
        <f t="shared" si="1"/>
        <v>0</v>
      </c>
      <c r="F34" s="82">
        <f t="shared" si="0"/>
        <v>0</v>
      </c>
      <c r="G34" s="83">
        <f t="shared" si="2"/>
        <v>0</v>
      </c>
    </row>
    <row r="35" spans="1:7">
      <c r="A35" s="11" t="s">
        <v>30</v>
      </c>
      <c r="B35" s="11" t="s">
        <v>62</v>
      </c>
      <c r="C35" s="81">
        <v>0</v>
      </c>
      <c r="D35" s="82">
        <v>0</v>
      </c>
      <c r="E35" s="58">
        <f t="shared" si="1"/>
        <v>0</v>
      </c>
      <c r="F35" s="82">
        <f t="shared" si="0"/>
        <v>0</v>
      </c>
      <c r="G35" s="83">
        <f t="shared" si="2"/>
        <v>0</v>
      </c>
    </row>
    <row r="36" spans="1:7">
      <c r="A36" s="11" t="s">
        <v>31</v>
      </c>
      <c r="B36" s="11" t="s">
        <v>63</v>
      </c>
      <c r="C36" s="81">
        <v>0</v>
      </c>
      <c r="D36" s="82">
        <v>0</v>
      </c>
      <c r="E36" s="58">
        <f t="shared" si="1"/>
        <v>0</v>
      </c>
      <c r="F36" s="82">
        <f t="shared" si="0"/>
        <v>0</v>
      </c>
      <c r="G36" s="83">
        <f t="shared" si="2"/>
        <v>0</v>
      </c>
    </row>
    <row r="37" spans="1:7">
      <c r="A37" s="11" t="s">
        <v>32</v>
      </c>
      <c r="B37" s="11" t="s">
        <v>64</v>
      </c>
      <c r="C37" s="81">
        <v>0</v>
      </c>
      <c r="D37" s="82">
        <v>0</v>
      </c>
      <c r="E37" s="58">
        <f t="shared" si="1"/>
        <v>0</v>
      </c>
      <c r="F37" s="82">
        <f t="shared" si="0"/>
        <v>0</v>
      </c>
      <c r="G37" s="83">
        <f t="shared" si="2"/>
        <v>0</v>
      </c>
    </row>
    <row r="38" spans="1:7">
      <c r="A38" s="11" t="s">
        <v>33</v>
      </c>
      <c r="B38" s="11" t="s">
        <v>65</v>
      </c>
      <c r="C38" s="81">
        <v>0</v>
      </c>
      <c r="D38" s="82">
        <v>0</v>
      </c>
      <c r="E38" s="88">
        <f t="shared" si="1"/>
        <v>0</v>
      </c>
      <c r="F38" s="82">
        <f t="shared" si="0"/>
        <v>0</v>
      </c>
      <c r="G38" s="83">
        <f t="shared" si="2"/>
        <v>0</v>
      </c>
    </row>
    <row r="39" spans="1:7">
      <c r="A39" s="84"/>
      <c r="B39" s="84"/>
      <c r="C39" s="84"/>
      <c r="D39" s="84"/>
      <c r="E39" s="84"/>
      <c r="F39" s="84"/>
      <c r="G39" s="120"/>
    </row>
    <row r="40" spans="1:7" s="16" customFormat="1">
      <c r="A40" s="23" t="s">
        <v>66</v>
      </c>
      <c r="B40" s="23"/>
      <c r="C40" s="67">
        <f t="shared" ref="C40:F40" si="3">SUM(C13:C39)</f>
        <v>22829417</v>
      </c>
      <c r="D40" s="85">
        <f t="shared" si="3"/>
        <v>1</v>
      </c>
      <c r="E40" s="67">
        <f t="shared" si="3"/>
        <v>15000000</v>
      </c>
      <c r="F40" s="85">
        <f t="shared" si="3"/>
        <v>1</v>
      </c>
      <c r="G40" s="121">
        <f>SUM(G13:G39)</f>
        <v>9041755.1483024508</v>
      </c>
    </row>
    <row r="43" spans="1:7">
      <c r="A43" s="10" t="s">
        <v>121</v>
      </c>
      <c r="C43" s="161"/>
    </row>
  </sheetData>
  <conditionalFormatting sqref="E13:E38">
    <cfRule type="cellIs" dxfId="1" priority="1" operator="equal">
      <formula>#REF!</formula>
    </cfRule>
  </conditionalFormatting>
  <pageMargins left="0.45" right="0.45" top="0.75" bottom="0.75" header="0.3" footer="0.3"/>
  <pageSetup orientation="portrait" r:id="rId1"/>
  <headerFooter>
    <oddFooter>&amp;L&amp;9&amp;Z&amp;F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opLeftCell="A2" workbookViewId="0">
      <pane ySplit="7" topLeftCell="A19" activePane="bottomLeft" state="frozen"/>
      <selection activeCell="B1" sqref="B1"/>
      <selection pane="bottomLeft" activeCell="G5" sqref="G5"/>
    </sheetView>
  </sheetViews>
  <sheetFormatPr defaultRowHeight="15"/>
  <cols>
    <col min="1" max="1" width="14.85546875" style="10" bestFit="1" customWidth="1"/>
    <col min="2" max="2" width="10.85546875" style="10" bestFit="1" customWidth="1"/>
    <col min="3" max="3" width="12.7109375" style="10" bestFit="1" customWidth="1"/>
    <col min="4" max="4" width="9.140625" style="10"/>
    <col min="5" max="5" width="11.7109375" style="10" bestFit="1" customWidth="1"/>
    <col min="6" max="6" width="9.140625" style="10"/>
    <col min="7" max="7" width="13.85546875" style="10" bestFit="1" customWidth="1"/>
    <col min="8" max="16384" width="9.140625" style="10"/>
  </cols>
  <sheetData>
    <row r="2" spans="1:7">
      <c r="A2" s="16" t="s">
        <v>102</v>
      </c>
    </row>
    <row r="4" spans="1:7">
      <c r="E4" s="69"/>
    </row>
    <row r="5" spans="1:7">
      <c r="A5" s="98"/>
      <c r="B5" s="99"/>
      <c r="C5" s="14" t="s">
        <v>77</v>
      </c>
      <c r="D5" s="14" t="s">
        <v>77</v>
      </c>
      <c r="E5" s="19"/>
      <c r="F5" s="14" t="s">
        <v>77</v>
      </c>
      <c r="G5" s="6">
        <f>'2020 Detail'!D8</f>
        <v>59729705.892331921</v>
      </c>
    </row>
    <row r="6" spans="1:7">
      <c r="A6" s="100" t="s">
        <v>4</v>
      </c>
      <c r="B6" s="37" t="s">
        <v>35</v>
      </c>
      <c r="C6" s="13" t="s">
        <v>36</v>
      </c>
      <c r="D6" s="13" t="s">
        <v>36</v>
      </c>
      <c r="E6" s="13" t="s">
        <v>68</v>
      </c>
      <c r="F6" s="13" t="s">
        <v>36</v>
      </c>
      <c r="G6" s="12">
        <v>2020</v>
      </c>
    </row>
    <row r="7" spans="1:7">
      <c r="A7" s="100"/>
      <c r="B7" s="37"/>
      <c r="C7" s="13" t="s">
        <v>37</v>
      </c>
      <c r="D7" s="13" t="s">
        <v>37</v>
      </c>
      <c r="E7" s="13" t="s">
        <v>70</v>
      </c>
      <c r="F7" s="13" t="s">
        <v>37</v>
      </c>
      <c r="G7" s="12" t="s">
        <v>3</v>
      </c>
    </row>
    <row r="8" spans="1:7">
      <c r="A8" s="101"/>
      <c r="B8" s="102"/>
      <c r="C8" s="5" t="s">
        <v>0</v>
      </c>
      <c r="D8" s="20" t="s">
        <v>38</v>
      </c>
      <c r="E8" s="87">
        <v>14500000</v>
      </c>
      <c r="F8" s="20" t="s">
        <v>79</v>
      </c>
      <c r="G8" s="21" t="s">
        <v>39</v>
      </c>
    </row>
    <row r="10" spans="1:7">
      <c r="A10" s="11" t="s">
        <v>8</v>
      </c>
      <c r="B10" s="11" t="s">
        <v>40</v>
      </c>
      <c r="C10" s="81"/>
      <c r="D10" s="82">
        <f t="shared" ref="D10:D35" si="0">C10/$C$37</f>
        <v>0</v>
      </c>
      <c r="E10" s="58">
        <f>IF(C10&gt;E$8,E$8,ROUND(C10,0))</f>
        <v>0</v>
      </c>
      <c r="F10" s="22">
        <f t="shared" ref="F10:F35" si="1">E10/$E$37</f>
        <v>0</v>
      </c>
      <c r="G10" s="83">
        <f>F10*$G$5</f>
        <v>0</v>
      </c>
    </row>
    <row r="11" spans="1:7">
      <c r="A11" s="11" t="s">
        <v>9</v>
      </c>
      <c r="B11" s="11" t="s">
        <v>41</v>
      </c>
      <c r="C11" s="81"/>
      <c r="D11" s="82">
        <f t="shared" si="0"/>
        <v>0</v>
      </c>
      <c r="E11" s="58">
        <f t="shared" ref="E11:E35" si="2">IF(C11&gt;E$8,E$8,ROUND(C11,0))</f>
        <v>0</v>
      </c>
      <c r="F11" s="22">
        <f t="shared" si="1"/>
        <v>0</v>
      </c>
      <c r="G11" s="83">
        <f t="shared" ref="G11:G35" si="3">F11*$G$5</f>
        <v>0</v>
      </c>
    </row>
    <row r="12" spans="1:7">
      <c r="A12" s="11" t="s">
        <v>10</v>
      </c>
      <c r="B12" s="11" t="s">
        <v>42</v>
      </c>
      <c r="C12" s="81"/>
      <c r="D12" s="82">
        <f t="shared" si="0"/>
        <v>0</v>
      </c>
      <c r="E12" s="58">
        <f t="shared" si="2"/>
        <v>0</v>
      </c>
      <c r="F12" s="22">
        <f t="shared" si="1"/>
        <v>0</v>
      </c>
      <c r="G12" s="83">
        <f t="shared" si="3"/>
        <v>0</v>
      </c>
    </row>
    <row r="13" spans="1:7">
      <c r="A13" s="11" t="s">
        <v>11</v>
      </c>
      <c r="B13" s="11" t="s">
        <v>43</v>
      </c>
      <c r="C13" s="81">
        <v>20705832</v>
      </c>
      <c r="D13" s="82">
        <f t="shared" si="0"/>
        <v>0.29050133324301802</v>
      </c>
      <c r="E13" s="58">
        <f t="shared" si="2"/>
        <v>14500000</v>
      </c>
      <c r="F13" s="22">
        <f t="shared" si="1"/>
        <v>0.24345215287089356</v>
      </c>
      <c r="G13" s="83">
        <f t="shared" si="3"/>
        <v>14541325.489833502</v>
      </c>
    </row>
    <row r="14" spans="1:7">
      <c r="A14" s="11" t="s">
        <v>12</v>
      </c>
      <c r="B14" s="11" t="s">
        <v>44</v>
      </c>
      <c r="C14" s="81"/>
      <c r="D14" s="82">
        <f>C14/$C$37</f>
        <v>0</v>
      </c>
      <c r="E14" s="58">
        <f t="shared" si="2"/>
        <v>0</v>
      </c>
      <c r="F14" s="22">
        <f t="shared" si="1"/>
        <v>0</v>
      </c>
      <c r="G14" s="83">
        <f t="shared" si="3"/>
        <v>0</v>
      </c>
    </row>
    <row r="15" spans="1:7">
      <c r="A15" s="11" t="s">
        <v>13</v>
      </c>
      <c r="B15" s="11" t="s">
        <v>45</v>
      </c>
      <c r="C15" s="81">
        <v>3143611</v>
      </c>
      <c r="D15" s="82">
        <f t="shared" si="0"/>
        <v>4.410463615745637E-2</v>
      </c>
      <c r="E15" s="58">
        <f t="shared" si="2"/>
        <v>3143611</v>
      </c>
      <c r="F15" s="22">
        <f t="shared" si="1"/>
        <v>5.2780611430249834E-2</v>
      </c>
      <c r="G15" s="83">
        <f t="shared" si="3"/>
        <v>3152570.3975462751</v>
      </c>
    </row>
    <row r="16" spans="1:7">
      <c r="A16" s="11" t="s">
        <v>14</v>
      </c>
      <c r="B16" s="11" t="s">
        <v>46</v>
      </c>
      <c r="C16" s="81"/>
      <c r="D16" s="82">
        <f t="shared" si="0"/>
        <v>0</v>
      </c>
      <c r="E16" s="58">
        <f t="shared" si="2"/>
        <v>0</v>
      </c>
      <c r="F16" s="22">
        <f t="shared" si="1"/>
        <v>0</v>
      </c>
      <c r="G16" s="83">
        <f t="shared" si="3"/>
        <v>0</v>
      </c>
    </row>
    <row r="17" spans="1:7">
      <c r="A17" s="11" t="s">
        <v>15</v>
      </c>
      <c r="B17" s="11" t="s">
        <v>47</v>
      </c>
      <c r="C17" s="81"/>
      <c r="D17" s="82">
        <f t="shared" si="0"/>
        <v>0</v>
      </c>
      <c r="E17" s="58">
        <f t="shared" si="2"/>
        <v>0</v>
      </c>
      <c r="F17" s="22">
        <f t="shared" si="1"/>
        <v>0</v>
      </c>
      <c r="G17" s="83">
        <f t="shared" si="3"/>
        <v>0</v>
      </c>
    </row>
    <row r="18" spans="1:7">
      <c r="A18" s="11" t="s">
        <v>16</v>
      </c>
      <c r="B18" s="11" t="s">
        <v>48</v>
      </c>
      <c r="C18" s="81"/>
      <c r="D18" s="82">
        <f t="shared" si="0"/>
        <v>0</v>
      </c>
      <c r="E18" s="58">
        <f t="shared" si="2"/>
        <v>0</v>
      </c>
      <c r="F18" s="22">
        <f t="shared" si="1"/>
        <v>0</v>
      </c>
      <c r="G18" s="83">
        <f t="shared" si="3"/>
        <v>0</v>
      </c>
    </row>
    <row r="19" spans="1:7">
      <c r="A19" s="11" t="s">
        <v>17</v>
      </c>
      <c r="B19" s="11" t="s">
        <v>49</v>
      </c>
      <c r="C19" s="81"/>
      <c r="D19" s="82">
        <f t="shared" si="0"/>
        <v>0</v>
      </c>
      <c r="E19" s="58">
        <f t="shared" si="2"/>
        <v>0</v>
      </c>
      <c r="F19" s="22">
        <f t="shared" si="1"/>
        <v>0</v>
      </c>
      <c r="G19" s="83">
        <f t="shared" si="3"/>
        <v>0</v>
      </c>
    </row>
    <row r="20" spans="1:7">
      <c r="A20" s="11" t="s">
        <v>18</v>
      </c>
      <c r="B20" s="11" t="s">
        <v>50</v>
      </c>
      <c r="C20" s="81"/>
      <c r="D20" s="82">
        <f t="shared" si="0"/>
        <v>0</v>
      </c>
      <c r="E20" s="58">
        <f t="shared" si="2"/>
        <v>0</v>
      </c>
      <c r="F20" s="22">
        <f t="shared" si="1"/>
        <v>0</v>
      </c>
      <c r="G20" s="83">
        <f t="shared" si="3"/>
        <v>0</v>
      </c>
    </row>
    <row r="21" spans="1:7">
      <c r="A21" s="11" t="s">
        <v>19</v>
      </c>
      <c r="B21" s="11" t="s">
        <v>51</v>
      </c>
      <c r="C21" s="81">
        <v>0</v>
      </c>
      <c r="D21" s="82">
        <f t="shared" si="0"/>
        <v>0</v>
      </c>
      <c r="E21" s="58">
        <f t="shared" si="2"/>
        <v>0</v>
      </c>
      <c r="F21" s="22">
        <f t="shared" si="1"/>
        <v>0</v>
      </c>
      <c r="G21" s="83">
        <f t="shared" si="3"/>
        <v>0</v>
      </c>
    </row>
    <row r="22" spans="1:7">
      <c r="A22" s="11" t="s">
        <v>20</v>
      </c>
      <c r="B22" s="11" t="s">
        <v>52</v>
      </c>
      <c r="C22" s="81"/>
      <c r="D22" s="82">
        <f t="shared" si="0"/>
        <v>0</v>
      </c>
      <c r="E22" s="58">
        <f t="shared" si="2"/>
        <v>0</v>
      </c>
      <c r="F22" s="22">
        <f t="shared" si="1"/>
        <v>0</v>
      </c>
      <c r="G22" s="83">
        <f t="shared" si="3"/>
        <v>0</v>
      </c>
    </row>
    <row r="23" spans="1:7">
      <c r="A23" s="11" t="s">
        <v>22</v>
      </c>
      <c r="B23" s="11" t="s">
        <v>53</v>
      </c>
      <c r="C23" s="81">
        <v>12981508</v>
      </c>
      <c r="D23" s="82">
        <f t="shared" si="0"/>
        <v>0.18212962326290025</v>
      </c>
      <c r="E23" s="58">
        <f t="shared" si="2"/>
        <v>12981508</v>
      </c>
      <c r="F23" s="22">
        <f t="shared" si="1"/>
        <v>0.21795697035246397</v>
      </c>
      <c r="G23" s="83">
        <f t="shared" si="3"/>
        <v>13018505.736336382</v>
      </c>
    </row>
    <row r="24" spans="1:7">
      <c r="A24" s="11" t="s">
        <v>21</v>
      </c>
      <c r="B24" s="11" t="s">
        <v>54</v>
      </c>
      <c r="C24" s="81"/>
      <c r="D24" s="82">
        <f t="shared" si="0"/>
        <v>0</v>
      </c>
      <c r="E24" s="58">
        <f t="shared" si="2"/>
        <v>0</v>
      </c>
      <c r="F24" s="22">
        <f t="shared" si="1"/>
        <v>0</v>
      </c>
      <c r="G24" s="83">
        <f t="shared" si="3"/>
        <v>0</v>
      </c>
    </row>
    <row r="25" spans="1:7">
      <c r="A25" s="11" t="s">
        <v>23</v>
      </c>
      <c r="B25" s="11" t="s">
        <v>55</v>
      </c>
      <c r="C25" s="81"/>
      <c r="D25" s="82">
        <f t="shared" si="0"/>
        <v>0</v>
      </c>
      <c r="E25" s="58">
        <f t="shared" si="2"/>
        <v>0</v>
      </c>
      <c r="F25" s="22">
        <f t="shared" si="1"/>
        <v>0</v>
      </c>
      <c r="G25" s="83">
        <f t="shared" si="3"/>
        <v>0</v>
      </c>
    </row>
    <row r="26" spans="1:7">
      <c r="A26" s="11" t="s">
        <v>24</v>
      </c>
      <c r="B26" s="11" t="s">
        <v>56</v>
      </c>
      <c r="C26" s="81">
        <v>20010413</v>
      </c>
      <c r="D26" s="82">
        <f t="shared" si="0"/>
        <v>0.28074465470614363</v>
      </c>
      <c r="E26" s="58">
        <f t="shared" si="2"/>
        <v>14500000</v>
      </c>
      <c r="F26" s="22">
        <f t="shared" si="1"/>
        <v>0.24345215287089356</v>
      </c>
      <c r="G26" s="83">
        <f t="shared" si="3"/>
        <v>14541325.489833502</v>
      </c>
    </row>
    <row r="27" spans="1:7">
      <c r="A27" s="11" t="s">
        <v>25</v>
      </c>
      <c r="B27" s="11" t="s">
        <v>57</v>
      </c>
      <c r="C27" s="81"/>
      <c r="D27" s="82">
        <f t="shared" si="0"/>
        <v>0</v>
      </c>
      <c r="E27" s="58">
        <f t="shared" si="2"/>
        <v>0</v>
      </c>
      <c r="F27" s="22">
        <f t="shared" si="1"/>
        <v>0</v>
      </c>
      <c r="G27" s="83">
        <f t="shared" si="3"/>
        <v>0</v>
      </c>
    </row>
    <row r="28" spans="1:7">
      <c r="A28" s="11" t="s">
        <v>29</v>
      </c>
      <c r="B28" s="11" t="s">
        <v>58</v>
      </c>
      <c r="C28" s="81"/>
      <c r="D28" s="82">
        <f t="shared" si="0"/>
        <v>0</v>
      </c>
      <c r="E28" s="58">
        <f t="shared" si="2"/>
        <v>0</v>
      </c>
      <c r="F28" s="22">
        <f t="shared" si="1"/>
        <v>0</v>
      </c>
      <c r="G28" s="83">
        <f t="shared" si="3"/>
        <v>0</v>
      </c>
    </row>
    <row r="29" spans="1:7">
      <c r="A29" s="11" t="s">
        <v>26</v>
      </c>
      <c r="B29" s="11" t="s">
        <v>59</v>
      </c>
      <c r="C29" s="81"/>
      <c r="D29" s="82">
        <f t="shared" si="0"/>
        <v>0</v>
      </c>
      <c r="E29" s="58">
        <f t="shared" si="2"/>
        <v>0</v>
      </c>
      <c r="F29" s="22">
        <f t="shared" si="1"/>
        <v>0</v>
      </c>
      <c r="G29" s="83">
        <f t="shared" si="3"/>
        <v>0</v>
      </c>
    </row>
    <row r="30" spans="1:7">
      <c r="A30" s="11" t="s">
        <v>27</v>
      </c>
      <c r="B30" s="11" t="s">
        <v>60</v>
      </c>
      <c r="C30" s="81"/>
      <c r="D30" s="82">
        <f t="shared" si="0"/>
        <v>0</v>
      </c>
      <c r="E30" s="58">
        <f t="shared" si="2"/>
        <v>0</v>
      </c>
      <c r="F30" s="22">
        <f t="shared" si="1"/>
        <v>0</v>
      </c>
      <c r="G30" s="83">
        <f t="shared" si="3"/>
        <v>0</v>
      </c>
    </row>
    <row r="31" spans="1:7">
      <c r="A31" s="11" t="s">
        <v>28</v>
      </c>
      <c r="B31" s="11" t="s">
        <v>61</v>
      </c>
      <c r="C31" s="81"/>
      <c r="D31" s="82">
        <f t="shared" si="0"/>
        <v>0</v>
      </c>
      <c r="E31" s="58">
        <f t="shared" si="2"/>
        <v>0</v>
      </c>
      <c r="F31" s="22">
        <f t="shared" si="1"/>
        <v>0</v>
      </c>
      <c r="G31" s="83">
        <f t="shared" si="3"/>
        <v>0</v>
      </c>
    </row>
    <row r="32" spans="1:7">
      <c r="A32" s="11" t="s">
        <v>30</v>
      </c>
      <c r="B32" s="11" t="s">
        <v>62</v>
      </c>
      <c r="C32" s="81">
        <v>14434839</v>
      </c>
      <c r="D32" s="82">
        <f t="shared" si="0"/>
        <v>0.20251975263048172</v>
      </c>
      <c r="E32" s="58">
        <f t="shared" si="2"/>
        <v>14434839</v>
      </c>
      <c r="F32" s="22">
        <f t="shared" si="1"/>
        <v>0.24235811247549907</v>
      </c>
      <c r="G32" s="83">
        <f t="shared" si="3"/>
        <v>14475978.77878226</v>
      </c>
    </row>
    <row r="33" spans="1:7">
      <c r="A33" s="11" t="s">
        <v>31</v>
      </c>
      <c r="B33" s="11" t="s">
        <v>63</v>
      </c>
      <c r="C33" s="81"/>
      <c r="D33" s="82">
        <f t="shared" si="0"/>
        <v>0</v>
      </c>
      <c r="E33" s="58">
        <f t="shared" si="2"/>
        <v>0</v>
      </c>
      <c r="F33" s="22">
        <f t="shared" si="1"/>
        <v>0</v>
      </c>
      <c r="G33" s="83">
        <f t="shared" si="3"/>
        <v>0</v>
      </c>
    </row>
    <row r="34" spans="1:7">
      <c r="A34" s="11" t="s">
        <v>32</v>
      </c>
      <c r="B34" s="11" t="s">
        <v>64</v>
      </c>
      <c r="C34" s="81"/>
      <c r="D34" s="82">
        <f t="shared" si="0"/>
        <v>0</v>
      </c>
      <c r="E34" s="58">
        <f t="shared" si="2"/>
        <v>0</v>
      </c>
      <c r="F34" s="22">
        <f t="shared" si="1"/>
        <v>0</v>
      </c>
      <c r="G34" s="83">
        <f t="shared" si="3"/>
        <v>0</v>
      </c>
    </row>
    <row r="35" spans="1:7">
      <c r="A35" s="11" t="s">
        <v>33</v>
      </c>
      <c r="B35" s="11" t="s">
        <v>65</v>
      </c>
      <c r="C35" s="81"/>
      <c r="D35" s="82">
        <f t="shared" si="0"/>
        <v>0</v>
      </c>
      <c r="E35" s="88">
        <f t="shared" si="2"/>
        <v>0</v>
      </c>
      <c r="F35" s="22">
        <f t="shared" si="1"/>
        <v>0</v>
      </c>
      <c r="G35" s="83">
        <f t="shared" si="3"/>
        <v>0</v>
      </c>
    </row>
    <row r="36" spans="1:7">
      <c r="C36" s="84"/>
      <c r="D36" s="84"/>
      <c r="E36" s="84"/>
      <c r="F36" s="84"/>
      <c r="G36" s="84"/>
    </row>
    <row r="37" spans="1:7" s="16" customFormat="1">
      <c r="A37" s="23" t="s">
        <v>66</v>
      </c>
      <c r="B37" s="23"/>
      <c r="C37" s="67">
        <f t="shared" ref="C37:G37" si="4">SUM(C10:C36)</f>
        <v>71276203</v>
      </c>
      <c r="D37" s="85">
        <f t="shared" si="4"/>
        <v>1</v>
      </c>
      <c r="E37" s="67">
        <f t="shared" si="4"/>
        <v>59559958</v>
      </c>
      <c r="F37" s="85">
        <f t="shared" si="4"/>
        <v>0.99999999999999989</v>
      </c>
      <c r="G37" s="67">
        <f t="shared" si="4"/>
        <v>59729705.892331928</v>
      </c>
    </row>
  </sheetData>
  <conditionalFormatting sqref="E10:E35">
    <cfRule type="cellIs" dxfId="0" priority="3" operator="equal">
      <formula>#REF!</formula>
    </cfRule>
  </conditionalFormatting>
  <pageMargins left="0.7" right="0.7" top="0.75" bottom="0.75" header="0.3" footer="0.3"/>
  <pageSetup orientation="portrait" r:id="rId1"/>
  <headerFooter>
    <oddFooter>&amp;L&amp;9&amp;F 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workbookViewId="0">
      <pane ySplit="8" topLeftCell="A18" activePane="bottomLeft" state="frozen"/>
      <selection activeCell="B1" sqref="B1"/>
      <selection pane="bottomLeft" activeCell="A3" sqref="A3"/>
    </sheetView>
  </sheetViews>
  <sheetFormatPr defaultRowHeight="15"/>
  <cols>
    <col min="1" max="1" width="14.85546875" style="10" bestFit="1" customWidth="1"/>
    <col min="2" max="2" width="12.85546875" style="10" bestFit="1" customWidth="1"/>
    <col min="3" max="3" width="9.85546875" style="10" bestFit="1" customWidth="1"/>
    <col min="4" max="4" width="13.5703125" style="10" hidden="1" customWidth="1"/>
    <col min="5" max="5" width="13.28515625" style="10" bestFit="1" customWidth="1"/>
    <col min="6" max="16384" width="9.140625" style="10"/>
  </cols>
  <sheetData>
    <row r="2" spans="1:5">
      <c r="A2" s="16" t="s">
        <v>103</v>
      </c>
    </row>
    <row r="4" spans="1:5">
      <c r="B4" s="15">
        <v>2016</v>
      </c>
    </row>
    <row r="5" spans="1:5">
      <c r="B5" s="15" t="s">
        <v>78</v>
      </c>
      <c r="C5" s="15"/>
      <c r="D5" s="15">
        <v>2018</v>
      </c>
      <c r="E5" s="15">
        <v>2020</v>
      </c>
    </row>
    <row r="6" spans="1:5">
      <c r="B6" s="15" t="s">
        <v>74</v>
      </c>
      <c r="C6" s="15"/>
      <c r="D6" s="4" t="s">
        <v>2</v>
      </c>
      <c r="E6" s="4" t="s">
        <v>2</v>
      </c>
    </row>
    <row r="7" spans="1:5">
      <c r="B7" s="15" t="s">
        <v>36</v>
      </c>
      <c r="C7" s="15" t="s">
        <v>38</v>
      </c>
      <c r="D7" s="4" t="s">
        <v>75</v>
      </c>
      <c r="E7" s="4" t="s">
        <v>75</v>
      </c>
    </row>
    <row r="8" spans="1:5">
      <c r="B8" s="3" t="s">
        <v>76</v>
      </c>
      <c r="C8" s="3"/>
      <c r="D8" s="103">
        <v>85416667</v>
      </c>
      <c r="E8" s="160">
        <f>'2020 Detail'!D9</f>
        <v>59729705.892331921</v>
      </c>
    </row>
    <row r="9" spans="1:5">
      <c r="A9" s="2" t="s">
        <v>8</v>
      </c>
      <c r="B9" s="71">
        <v>23912127</v>
      </c>
      <c r="C9" s="72">
        <f>B9/$B$35</f>
        <v>3.829449719629862E-2</v>
      </c>
      <c r="D9" s="71">
        <f>C9*$D$8</f>
        <v>3270988.3149486729</v>
      </c>
      <c r="E9" s="73">
        <f>+$E$8*C9</f>
        <v>2287319.0548296459</v>
      </c>
    </row>
    <row r="10" spans="1:5">
      <c r="A10" s="2" t="s">
        <v>9</v>
      </c>
      <c r="B10" s="71">
        <v>48056138</v>
      </c>
      <c r="C10" s="72">
        <f t="shared" ref="C10:C34" si="0">B10/$B$35</f>
        <v>7.6960349110973672E-2</v>
      </c>
      <c r="D10" s="71">
        <f t="shared" ref="D10:D34" si="1">C10*$D$8</f>
        <v>6573696.5122157838</v>
      </c>
      <c r="E10" s="73">
        <f t="shared" ref="E10:E34" si="2">+$E$8*C10</f>
        <v>4596819.0177696459</v>
      </c>
    </row>
    <row r="11" spans="1:5">
      <c r="A11" s="2" t="s">
        <v>10</v>
      </c>
      <c r="B11" s="71">
        <v>13913687</v>
      </c>
      <c r="C11" s="72">
        <f t="shared" si="0"/>
        <v>2.2282319252138322E-2</v>
      </c>
      <c r="D11" s="71">
        <f t="shared" si="1"/>
        <v>1903281.4435475881</v>
      </c>
      <c r="E11" s="73">
        <f t="shared" si="2"/>
        <v>1330916.3755292674</v>
      </c>
    </row>
    <row r="12" spans="1:5">
      <c r="A12" s="2" t="s">
        <v>11</v>
      </c>
      <c r="B12" s="71">
        <v>27142086</v>
      </c>
      <c r="C12" s="72">
        <f t="shared" si="0"/>
        <v>4.3467171959595902E-2</v>
      </c>
      <c r="D12" s="71">
        <f t="shared" si="1"/>
        <v>3712820.9527045405</v>
      </c>
      <c r="E12" s="73">
        <f t="shared" si="2"/>
        <v>2596281.3971180799</v>
      </c>
    </row>
    <row r="13" spans="1:5">
      <c r="A13" s="2" t="s">
        <v>12</v>
      </c>
      <c r="B13" s="71">
        <v>11071714</v>
      </c>
      <c r="C13" s="72">
        <f t="shared" si="0"/>
        <v>1.7730991506160042E-2</v>
      </c>
      <c r="D13" s="71">
        <f t="shared" si="1"/>
        <v>1514522.1970615007</v>
      </c>
      <c r="E13" s="73">
        <f t="shared" si="2"/>
        <v>1059066.9078423746</v>
      </c>
    </row>
    <row r="14" spans="1:5">
      <c r="A14" s="2" t="s">
        <v>13</v>
      </c>
      <c r="B14" s="71">
        <v>5624228</v>
      </c>
      <c r="C14" s="72">
        <f t="shared" si="0"/>
        <v>9.0070190484244327E-3</v>
      </c>
      <c r="D14" s="71">
        <f t="shared" si="1"/>
        <v>769349.54672192666</v>
      </c>
      <c r="E14" s="73">
        <f t="shared" si="2"/>
        <v>537986.59872902266</v>
      </c>
    </row>
    <row r="15" spans="1:5">
      <c r="A15" s="2" t="s">
        <v>14</v>
      </c>
      <c r="B15" s="71">
        <v>13540753</v>
      </c>
      <c r="C15" s="72">
        <f t="shared" si="0"/>
        <v>2.1685077525486218E-2</v>
      </c>
      <c r="D15" s="71">
        <f t="shared" si="1"/>
        <v>1852267.0458636403</v>
      </c>
      <c r="E15" s="73">
        <f t="shared" si="2"/>
        <v>1295243.3028497086</v>
      </c>
    </row>
    <row r="16" spans="1:5">
      <c r="A16" s="2" t="s">
        <v>15</v>
      </c>
      <c r="B16" s="71">
        <v>60175639</v>
      </c>
      <c r="C16" s="72">
        <f t="shared" si="0"/>
        <v>9.6369337573816743E-2</v>
      </c>
      <c r="D16" s="71">
        <f t="shared" si="1"/>
        <v>8231547.6165532926</v>
      </c>
      <c r="E16" s="73">
        <f t="shared" si="2"/>
        <v>5756112.1903229263</v>
      </c>
    </row>
    <row r="17" spans="1:5">
      <c r="A17" s="2" t="s">
        <v>16</v>
      </c>
      <c r="B17" s="71">
        <v>36648952</v>
      </c>
      <c r="C17" s="72">
        <f t="shared" si="0"/>
        <v>5.8692110058268035E-2</v>
      </c>
      <c r="D17" s="71">
        <f t="shared" si="1"/>
        <v>5013284.4203744316</v>
      </c>
      <c r="E17" s="73">
        <f t="shared" si="2"/>
        <v>3505662.4719807259</v>
      </c>
    </row>
    <row r="18" spans="1:5">
      <c r="A18" s="2" t="s">
        <v>17</v>
      </c>
      <c r="B18" s="71">
        <v>10594387</v>
      </c>
      <c r="C18" s="72">
        <f t="shared" si="0"/>
        <v>1.6966567769901963E-2</v>
      </c>
      <c r="D18" s="71">
        <f t="shared" si="1"/>
        <v>1449227.6693346486</v>
      </c>
      <c r="E18" s="73">
        <f t="shared" si="2"/>
        <v>1013408.1028985622</v>
      </c>
    </row>
    <row r="19" spans="1:5">
      <c r="A19" s="2" t="s">
        <v>18</v>
      </c>
      <c r="B19" s="71">
        <v>3399841</v>
      </c>
      <c r="C19" s="72">
        <f t="shared" si="0"/>
        <v>5.4447352860898194E-3</v>
      </c>
      <c r="D19" s="71">
        <f t="shared" si="1"/>
        <v>465071.14083508385</v>
      </c>
      <c r="E19" s="73">
        <f t="shared" si="2"/>
        <v>325212.43729974661</v>
      </c>
    </row>
    <row r="20" spans="1:5">
      <c r="A20" s="2" t="s">
        <v>19</v>
      </c>
      <c r="B20" s="71">
        <v>21600284</v>
      </c>
      <c r="C20" s="72">
        <f t="shared" si="0"/>
        <v>3.4592155481494975E-2</v>
      </c>
      <c r="D20" s="71">
        <f t="shared" si="1"/>
        <v>2954746.625575081</v>
      </c>
      <c r="E20" s="73">
        <f t="shared" si="2"/>
        <v>2066179.2730915123</v>
      </c>
    </row>
    <row r="21" spans="1:5">
      <c r="A21" s="2" t="s">
        <v>20</v>
      </c>
      <c r="B21" s="71">
        <v>18481746</v>
      </c>
      <c r="C21" s="72">
        <f t="shared" si="0"/>
        <v>2.9597917842260676E-2</v>
      </c>
      <c r="D21" s="71">
        <f t="shared" si="1"/>
        <v>2528155.4922257387</v>
      </c>
      <c r="E21" s="73">
        <f t="shared" si="2"/>
        <v>1767874.9277436335</v>
      </c>
    </row>
    <row r="22" spans="1:5">
      <c r="A22" s="2" t="s">
        <v>21</v>
      </c>
      <c r="B22" s="71">
        <v>15674732</v>
      </c>
      <c r="C22" s="72">
        <f t="shared" si="0"/>
        <v>2.5102575802927622E-2</v>
      </c>
      <c r="D22" s="71">
        <f t="shared" si="1"/>
        <v>2144178.3582009263</v>
      </c>
      <c r="E22" s="73">
        <f t="shared" si="2"/>
        <v>1499369.4698488347</v>
      </c>
    </row>
    <row r="23" spans="1:5">
      <c r="A23" s="2" t="s">
        <v>22</v>
      </c>
      <c r="B23" s="71">
        <v>21148262</v>
      </c>
      <c r="C23" s="72">
        <f t="shared" si="0"/>
        <v>3.3868256883446156E-2</v>
      </c>
      <c r="D23" s="71">
        <f t="shared" si="1"/>
        <v>2892913.6200837782</v>
      </c>
      <c r="E23" s="73">
        <f t="shared" si="2"/>
        <v>2022941.022734185</v>
      </c>
    </row>
    <row r="24" spans="1:5">
      <c r="A24" s="2" t="s">
        <v>23</v>
      </c>
      <c r="B24" s="71">
        <v>4285321</v>
      </c>
      <c r="C24" s="72">
        <f t="shared" si="0"/>
        <v>6.8628028372273034E-3</v>
      </c>
      <c r="D24" s="71">
        <f t="shared" si="1"/>
        <v>586197.74463409977</v>
      </c>
      <c r="E24" s="73">
        <f t="shared" si="2"/>
        <v>409913.19506464788</v>
      </c>
    </row>
    <row r="25" spans="1:5">
      <c r="A25" s="2" t="s">
        <v>24</v>
      </c>
      <c r="B25" s="71">
        <v>21845649</v>
      </c>
      <c r="C25" s="72">
        <f t="shared" si="0"/>
        <v>3.4985099584901994E-2</v>
      </c>
      <c r="D25" s="71">
        <f t="shared" si="1"/>
        <v>2988310.6012054118</v>
      </c>
      <c r="E25" s="73">
        <f t="shared" si="2"/>
        <v>2089649.7088201395</v>
      </c>
    </row>
    <row r="26" spans="1:5">
      <c r="A26" s="2" t="s">
        <v>25</v>
      </c>
      <c r="B26" s="71">
        <v>5945222</v>
      </c>
      <c r="C26" s="72">
        <f t="shared" si="0"/>
        <v>9.5210805467189456E-3</v>
      </c>
      <c r="D26" s="71">
        <f t="shared" si="1"/>
        <v>813258.96653927013</v>
      </c>
      <c r="E26" s="73">
        <f t="shared" si="2"/>
        <v>568691.3408327254</v>
      </c>
    </row>
    <row r="27" spans="1:5">
      <c r="A27" s="2" t="s">
        <v>26</v>
      </c>
      <c r="B27" s="71">
        <v>39371301</v>
      </c>
      <c r="C27" s="72">
        <f t="shared" si="0"/>
        <v>6.3051863841268874E-2</v>
      </c>
      <c r="D27" s="71">
        <f t="shared" si="1"/>
        <v>5385680.0574590042</v>
      </c>
      <c r="E27" s="73">
        <f t="shared" si="2"/>
        <v>3766069.2832023473</v>
      </c>
    </row>
    <row r="28" spans="1:5">
      <c r="A28" s="2" t="s">
        <v>27</v>
      </c>
      <c r="B28" s="71">
        <v>29484033</v>
      </c>
      <c r="C28" s="72">
        <f t="shared" si="0"/>
        <v>4.7217724255733333E-2</v>
      </c>
      <c r="D28" s="71">
        <f t="shared" si="1"/>
        <v>4033180.6292497967</v>
      </c>
      <c r="E28" s="73">
        <f t="shared" si="2"/>
        <v>2820300.7827001791</v>
      </c>
    </row>
    <row r="29" spans="1:5">
      <c r="A29" s="2" t="s">
        <v>28</v>
      </c>
      <c r="B29" s="71">
        <v>37041345</v>
      </c>
      <c r="C29" s="72">
        <f t="shared" si="0"/>
        <v>5.9320514743403212E-2</v>
      </c>
      <c r="D29" s="71">
        <f t="shared" si="1"/>
        <v>5066960.6541058626</v>
      </c>
      <c r="E29" s="73">
        <f t="shared" si="2"/>
        <v>3543196.8990052133</v>
      </c>
    </row>
    <row r="30" spans="1:5">
      <c r="A30" s="2" t="s">
        <v>29</v>
      </c>
      <c r="B30" s="71">
        <v>1466344</v>
      </c>
      <c r="C30" s="72">
        <f t="shared" si="0"/>
        <v>2.3483024407159308E-3</v>
      </c>
      <c r="D30" s="71">
        <f t="shared" si="1"/>
        <v>200584.1675939199</v>
      </c>
      <c r="E30" s="73">
        <f t="shared" si="2"/>
        <v>140263.41413020776</v>
      </c>
    </row>
    <row r="31" spans="1:5">
      <c r="A31" s="2" t="s">
        <v>30</v>
      </c>
      <c r="B31" s="71">
        <v>24884107</v>
      </c>
      <c r="C31" s="72">
        <f t="shared" si="0"/>
        <v>3.9851091696857202E-2</v>
      </c>
      <c r="D31" s="71">
        <f t="shared" si="1"/>
        <v>3403947.4290569164</v>
      </c>
      <c r="E31" s="73">
        <f t="shared" si="2"/>
        <v>2380293.9865416312</v>
      </c>
    </row>
    <row r="32" spans="1:5">
      <c r="A32" s="2" t="s">
        <v>31</v>
      </c>
      <c r="B32" s="71">
        <v>18907742</v>
      </c>
      <c r="C32" s="72">
        <f t="shared" si="0"/>
        <v>3.028013664394379E-2</v>
      </c>
      <c r="D32" s="71">
        <f t="shared" si="1"/>
        <v>2586428.3484302443</v>
      </c>
      <c r="E32" s="73">
        <f t="shared" si="2"/>
        <v>1808623.6561223851</v>
      </c>
    </row>
    <row r="33" spans="1:5">
      <c r="A33" s="2" t="s">
        <v>32</v>
      </c>
      <c r="B33" s="71">
        <v>8025624</v>
      </c>
      <c r="C33" s="72">
        <f t="shared" si="0"/>
        <v>1.2852776993303311E-2</v>
      </c>
      <c r="D33" s="71">
        <f t="shared" si="1"/>
        <v>1097841.3724622501</v>
      </c>
      <c r="E33" s="73">
        <f t="shared" si="2"/>
        <v>767692.58970973687</v>
      </c>
    </row>
    <row r="34" spans="1:5">
      <c r="A34" s="7" t="s">
        <v>33</v>
      </c>
      <c r="B34" s="70">
        <v>102185971</v>
      </c>
      <c r="C34" s="74">
        <f t="shared" si="0"/>
        <v>0.16364752411864289</v>
      </c>
      <c r="D34" s="71">
        <f t="shared" si="1"/>
        <v>13978226.073016588</v>
      </c>
      <c r="E34" s="127">
        <f t="shared" si="2"/>
        <v>9774618.4856148344</v>
      </c>
    </row>
    <row r="35" spans="1:5">
      <c r="B35" s="71">
        <f t="shared" ref="B35:D35" si="3">SUM(B9:B34)</f>
        <v>624427235</v>
      </c>
      <c r="C35" s="75">
        <f t="shared" si="3"/>
        <v>1</v>
      </c>
      <c r="D35" s="76">
        <f t="shared" si="3"/>
        <v>85416666.999999985</v>
      </c>
      <c r="E35" s="76">
        <f>SUM(E9:E34)</f>
        <v>59729705.892331921</v>
      </c>
    </row>
    <row r="42" spans="1:5">
      <c r="E42" s="18"/>
    </row>
    <row r="43" spans="1:5">
      <c r="E43" s="18"/>
    </row>
    <row r="44" spans="1:5">
      <c r="E44" s="18"/>
    </row>
    <row r="45" spans="1:5">
      <c r="E45" s="18"/>
    </row>
    <row r="46" spans="1:5">
      <c r="E46" s="18"/>
    </row>
  </sheetData>
  <pageMargins left="0.7" right="0.7" top="0.75" bottom="0.75" header="0.3" footer="0.3"/>
  <pageSetup orientation="portrait" r:id="rId1"/>
  <headerFooter>
    <oddFooter>&amp;L&amp;9&amp;F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2020 Summary</vt:lpstr>
      <vt:lpstr>2020 Detail</vt:lpstr>
      <vt:lpstr>IP Supp Combo</vt:lpstr>
      <vt:lpstr>Small</vt:lpstr>
      <vt:lpstr>Mid</vt:lpstr>
      <vt:lpstr>OP Supp</vt:lpstr>
      <vt:lpstr>'2020 Detail'!Print_Area</vt:lpstr>
      <vt:lpstr>'IP Supp Combo'!Print_Area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Cecil, Roberta C.</cp:lastModifiedBy>
  <cp:lastPrinted>2019-09-30T16:20:40Z</cp:lastPrinted>
  <dcterms:created xsi:type="dcterms:W3CDTF">2017-09-26T12:18:41Z</dcterms:created>
  <dcterms:modified xsi:type="dcterms:W3CDTF">2019-09-30T16:21:58Z</dcterms:modified>
</cp:coreProperties>
</file>