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941A267E-3949-43F7-991A-974D819E4A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$3.7m 2.965% with Stop Gain" sheetId="4" r:id="rId1"/>
  </sheets>
  <definedNames>
    <definedName name="_xlnm._FilterDatabase" localSheetId="0" hidden="1">'$3.7m 2.965% with Stop Gain'!$A$7:$Z$7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1" i="4" l="1"/>
  <c r="AD91" i="4"/>
  <c r="AC91" i="4"/>
  <c r="AF91" i="4"/>
  <c r="AB91" i="4"/>
  <c r="AB88" i="4"/>
  <c r="AB87" i="4"/>
  <c r="AB86" i="4"/>
  <c r="AC86" i="4" s="1"/>
  <c r="AB85" i="4"/>
  <c r="AB84" i="4"/>
  <c r="AB83" i="4"/>
  <c r="AB82" i="4"/>
  <c r="AB81" i="4"/>
  <c r="AC81" i="4" s="1"/>
  <c r="AB80" i="4"/>
  <c r="AB79" i="4"/>
  <c r="AB78" i="4"/>
  <c r="AB77" i="4"/>
  <c r="AB76" i="4"/>
  <c r="AB75" i="4"/>
  <c r="AB74" i="4"/>
  <c r="AB73" i="4"/>
  <c r="AC73" i="4" s="1"/>
  <c r="AB72" i="4"/>
  <c r="AB71" i="4"/>
  <c r="AB70" i="4"/>
  <c r="AB69" i="4"/>
  <c r="AB68" i="4"/>
  <c r="AB67" i="4"/>
  <c r="AB66" i="4"/>
  <c r="AB65" i="4"/>
  <c r="AC65" i="4" s="1"/>
  <c r="AB64" i="4"/>
  <c r="AB63" i="4"/>
  <c r="AB62" i="4"/>
  <c r="AB61" i="4"/>
  <c r="AB60" i="4"/>
  <c r="AB59" i="4"/>
  <c r="AB58" i="4"/>
  <c r="AB57" i="4"/>
  <c r="AC57" i="4" s="1"/>
  <c r="AB56" i="4"/>
  <c r="AB55" i="4"/>
  <c r="AB54" i="4"/>
  <c r="AB53" i="4"/>
  <c r="AB52" i="4"/>
  <c r="AB51" i="4"/>
  <c r="AB50" i="4"/>
  <c r="AB49" i="4"/>
  <c r="AC49" i="4" s="1"/>
  <c r="AB48" i="4"/>
  <c r="AB47" i="4"/>
  <c r="AB46" i="4"/>
  <c r="AB45" i="4"/>
  <c r="AB44" i="4"/>
  <c r="AB43" i="4"/>
  <c r="AB42" i="4"/>
  <c r="AB41" i="4"/>
  <c r="AC41" i="4" s="1"/>
  <c r="AB40" i="4"/>
  <c r="AB39" i="4"/>
  <c r="AB38" i="4"/>
  <c r="AB37" i="4"/>
  <c r="AB36" i="4"/>
  <c r="AB35" i="4"/>
  <c r="AB34" i="4"/>
  <c r="AB33" i="4"/>
  <c r="AC33" i="4" s="1"/>
  <c r="AB32" i="4"/>
  <c r="AB31" i="4"/>
  <c r="AB30" i="4"/>
  <c r="AB29" i="4"/>
  <c r="AB28" i="4"/>
  <c r="AB27" i="4"/>
  <c r="AB26" i="4"/>
  <c r="AB25" i="4"/>
  <c r="AC25" i="4" s="1"/>
  <c r="AB24" i="4"/>
  <c r="AB23" i="4"/>
  <c r="AB22" i="4"/>
  <c r="AB21" i="4"/>
  <c r="AB20" i="4"/>
  <c r="AB19" i="4"/>
  <c r="AB18" i="4"/>
  <c r="AB17" i="4"/>
  <c r="AC17" i="4" s="1"/>
  <c r="AB16" i="4"/>
  <c r="AB15" i="4"/>
  <c r="AB14" i="4"/>
  <c r="AB13" i="4"/>
  <c r="AB12" i="4"/>
  <c r="AB11" i="4"/>
  <c r="AB10" i="4"/>
  <c r="AB9" i="4"/>
  <c r="AB8" i="4"/>
  <c r="AB89" i="4"/>
  <c r="AC89" i="4"/>
  <c r="AC88" i="4"/>
  <c r="AC87" i="4"/>
  <c r="AC85" i="4"/>
  <c r="AC84" i="4"/>
  <c r="AC83" i="4"/>
  <c r="AC82" i="4"/>
  <c r="AC80" i="4"/>
  <c r="AC79" i="4"/>
  <c r="AC78" i="4"/>
  <c r="AC77" i="4"/>
  <c r="AC76" i="4"/>
  <c r="AC75" i="4"/>
  <c r="AC74" i="4"/>
  <c r="AC72" i="4"/>
  <c r="AC71" i="4"/>
  <c r="AC70" i="4"/>
  <c r="AC69" i="4"/>
  <c r="AC68" i="4"/>
  <c r="AC67" i="4"/>
  <c r="AC66" i="4"/>
  <c r="AC64" i="4"/>
  <c r="AC63" i="4"/>
  <c r="AC62" i="4"/>
  <c r="AC61" i="4"/>
  <c r="AC60" i="4"/>
  <c r="AC59" i="4"/>
  <c r="AC58" i="4"/>
  <c r="AC56" i="4"/>
  <c r="AC55" i="4"/>
  <c r="AC54" i="4"/>
  <c r="AC53" i="4"/>
  <c r="AC52" i="4"/>
  <c r="AC51" i="4"/>
  <c r="AC50" i="4"/>
  <c r="AC48" i="4"/>
  <c r="AC47" i="4"/>
  <c r="AC46" i="4"/>
  <c r="AC45" i="4"/>
  <c r="AC44" i="4"/>
  <c r="AC43" i="4"/>
  <c r="AC42" i="4"/>
  <c r="AC40" i="4"/>
  <c r="AC39" i="4"/>
  <c r="AC38" i="4"/>
  <c r="AC37" i="4"/>
  <c r="AC36" i="4"/>
  <c r="AC35" i="4"/>
  <c r="AC34" i="4"/>
  <c r="AC32" i="4"/>
  <c r="AC31" i="4"/>
  <c r="AC30" i="4"/>
  <c r="AC29" i="4"/>
  <c r="AC28" i="4"/>
  <c r="AC27" i="4"/>
  <c r="AC26" i="4"/>
  <c r="AC24" i="4"/>
  <c r="AC23" i="4"/>
  <c r="AC22" i="4"/>
  <c r="AC21" i="4"/>
  <c r="AC20" i="4"/>
  <c r="AC19" i="4"/>
  <c r="AC18" i="4"/>
  <c r="AC16" i="4"/>
  <c r="AD16" i="4" s="1"/>
  <c r="AE16" i="4" s="1"/>
  <c r="AC15" i="4"/>
  <c r="AC14" i="4"/>
  <c r="AC13" i="4"/>
  <c r="AC12" i="4"/>
  <c r="AC11" i="4"/>
  <c r="AC10" i="4"/>
  <c r="AC8" i="4"/>
  <c r="AD8" i="4" s="1"/>
  <c r="AC9" i="4"/>
  <c r="AD9" i="4" s="1"/>
  <c r="AE9" i="4" s="1"/>
  <c r="T95" i="4"/>
  <c r="AF9" i="4" l="1"/>
  <c r="AF32" i="4"/>
  <c r="AF26" i="4"/>
  <c r="AF41" i="4"/>
  <c r="AD86" i="4"/>
  <c r="AE86" i="4" s="1"/>
  <c r="AD88" i="4"/>
  <c r="AE88" i="4" s="1"/>
  <c r="AD12" i="4"/>
  <c r="AE12" i="4" s="1"/>
  <c r="AD14" i="4"/>
  <c r="AE14" i="4" s="1"/>
  <c r="AD18" i="4"/>
  <c r="AE18" i="4" s="1"/>
  <c r="AD22" i="4"/>
  <c r="AE22" i="4" s="1"/>
  <c r="AD24" i="4"/>
  <c r="AE24" i="4" s="1"/>
  <c r="AD28" i="4"/>
  <c r="AE28" i="4" s="1"/>
  <c r="AD32" i="4"/>
  <c r="AE32" i="4" s="1"/>
  <c r="AD36" i="4"/>
  <c r="AE36" i="4" s="1"/>
  <c r="AD40" i="4"/>
  <c r="AE40" i="4" s="1"/>
  <c r="AD42" i="4"/>
  <c r="AE42" i="4" s="1"/>
  <c r="AD46" i="4"/>
  <c r="AE46" i="4" s="1"/>
  <c r="AD48" i="4"/>
  <c r="AE48" i="4" s="1"/>
  <c r="AD50" i="4"/>
  <c r="AE50" i="4" s="1"/>
  <c r="AD54" i="4"/>
  <c r="AE54" i="4" s="1"/>
  <c r="AD56" i="4"/>
  <c r="AE56" i="4" s="1"/>
  <c r="AD58" i="4"/>
  <c r="AE58" i="4" s="1"/>
  <c r="AD60" i="4"/>
  <c r="AE60" i="4" s="1"/>
  <c r="AD62" i="4"/>
  <c r="AE62" i="4" s="1"/>
  <c r="AD64" i="4"/>
  <c r="AE64" i="4" s="1"/>
  <c r="AD66" i="4"/>
  <c r="AE66" i="4" s="1"/>
  <c r="AD68" i="4"/>
  <c r="AE68" i="4" s="1"/>
  <c r="AD70" i="4"/>
  <c r="AE70" i="4" s="1"/>
  <c r="AD72" i="4"/>
  <c r="AE72" i="4" s="1"/>
  <c r="AD74" i="4"/>
  <c r="AE74" i="4" s="1"/>
  <c r="AD76" i="4"/>
  <c r="AE76" i="4" s="1"/>
  <c r="AD78" i="4"/>
  <c r="AE78" i="4" s="1"/>
  <c r="AF78" i="4" s="1"/>
  <c r="AD82" i="4"/>
  <c r="AE82" i="4" s="1"/>
  <c r="AD84" i="4"/>
  <c r="AE84" i="4" s="1"/>
  <c r="AD10" i="4"/>
  <c r="AE10" i="4" s="1"/>
  <c r="AD20" i="4"/>
  <c r="AE20" i="4" s="1"/>
  <c r="AD26" i="4"/>
  <c r="AE26" i="4" s="1"/>
  <c r="AD30" i="4"/>
  <c r="AE30" i="4" s="1"/>
  <c r="AD34" i="4"/>
  <c r="AE34" i="4" s="1"/>
  <c r="AD38" i="4"/>
  <c r="AE38" i="4" s="1"/>
  <c r="AD44" i="4"/>
  <c r="AE44" i="4" s="1"/>
  <c r="AD52" i="4"/>
  <c r="AE52" i="4" s="1"/>
  <c r="AD80" i="4"/>
  <c r="AE80" i="4" s="1"/>
  <c r="AF16" i="4"/>
  <c r="AD11" i="4"/>
  <c r="AE11" i="4" s="1"/>
  <c r="AD13" i="4"/>
  <c r="AE13" i="4" s="1"/>
  <c r="AD15" i="4"/>
  <c r="AE15" i="4" s="1"/>
  <c r="AD17" i="4"/>
  <c r="AE17" i="4" s="1"/>
  <c r="AD19" i="4"/>
  <c r="AE19" i="4" s="1"/>
  <c r="AD21" i="4"/>
  <c r="AE21" i="4" s="1"/>
  <c r="AD23" i="4"/>
  <c r="AE23" i="4" s="1"/>
  <c r="AD25" i="4"/>
  <c r="AE25" i="4" s="1"/>
  <c r="AD27" i="4"/>
  <c r="AE27" i="4" s="1"/>
  <c r="AD29" i="4"/>
  <c r="AE29" i="4" s="1"/>
  <c r="AD31" i="4"/>
  <c r="AE31" i="4" s="1"/>
  <c r="AD33" i="4"/>
  <c r="AE33" i="4" s="1"/>
  <c r="AD35" i="4"/>
  <c r="AE35" i="4" s="1"/>
  <c r="AD37" i="4"/>
  <c r="AE37" i="4" s="1"/>
  <c r="AD39" i="4"/>
  <c r="AE39" i="4" s="1"/>
  <c r="AD41" i="4"/>
  <c r="AE41" i="4" s="1"/>
  <c r="AD43" i="4"/>
  <c r="AE43" i="4" s="1"/>
  <c r="AD45" i="4"/>
  <c r="AE45" i="4" s="1"/>
  <c r="AD47" i="4"/>
  <c r="AE47" i="4" s="1"/>
  <c r="AD49" i="4"/>
  <c r="AE49" i="4" s="1"/>
  <c r="AD51" i="4"/>
  <c r="AE51" i="4" s="1"/>
  <c r="AF51" i="4" s="1"/>
  <c r="AD53" i="4"/>
  <c r="AE53" i="4" s="1"/>
  <c r="AD55" i="4"/>
  <c r="AE55" i="4" s="1"/>
  <c r="AD57" i="4"/>
  <c r="AE57" i="4" s="1"/>
  <c r="AD59" i="4"/>
  <c r="AE59" i="4" s="1"/>
  <c r="AD61" i="4"/>
  <c r="AE61" i="4" s="1"/>
  <c r="AD63" i="4"/>
  <c r="AE63" i="4" s="1"/>
  <c r="AD65" i="4"/>
  <c r="AE65" i="4" s="1"/>
  <c r="AD67" i="4"/>
  <c r="AE67" i="4" s="1"/>
  <c r="AD69" i="4"/>
  <c r="AE69" i="4" s="1"/>
  <c r="AD71" i="4"/>
  <c r="AE71" i="4" s="1"/>
  <c r="AD73" i="4"/>
  <c r="AE73" i="4" s="1"/>
  <c r="AD75" i="4"/>
  <c r="AE75" i="4" s="1"/>
  <c r="AD77" i="4"/>
  <c r="AE77" i="4" s="1"/>
  <c r="AD79" i="4"/>
  <c r="AE79" i="4" s="1"/>
  <c r="AD81" i="4"/>
  <c r="AE81" i="4" s="1"/>
  <c r="AD83" i="4"/>
  <c r="AE83" i="4" s="1"/>
  <c r="AD85" i="4"/>
  <c r="AE85" i="4" s="1"/>
  <c r="AD87" i="4"/>
  <c r="AE87" i="4" s="1"/>
  <c r="AD89" i="4"/>
  <c r="AE89" i="4" s="1"/>
  <c r="AE8" i="4"/>
  <c r="AF8" i="4" s="1"/>
  <c r="R8" i="4"/>
  <c r="Q95" i="4"/>
  <c r="AF18" i="4" l="1"/>
  <c r="AF73" i="4"/>
  <c r="AF60" i="4"/>
  <c r="AF76" i="4"/>
  <c r="AF81" i="4"/>
  <c r="AF14" i="4"/>
  <c r="AF70" i="4"/>
  <c r="AF49" i="4"/>
  <c r="AF36" i="4"/>
  <c r="AF82" i="4"/>
  <c r="AF33" i="4"/>
  <c r="AF88" i="4"/>
  <c r="AF29" i="4"/>
  <c r="AF17" i="4"/>
  <c r="AF64" i="4"/>
  <c r="AF20" i="4"/>
  <c r="AF46" i="4"/>
  <c r="AF19" i="4"/>
  <c r="AF38" i="4"/>
  <c r="AF63" i="4"/>
  <c r="AF42" i="4"/>
  <c r="AF22" i="4"/>
  <c r="AF11" i="4"/>
  <c r="AF48" i="4"/>
  <c r="AF79" i="4"/>
  <c r="AF45" i="4"/>
  <c r="AF89" i="4"/>
  <c r="AF25" i="4"/>
  <c r="AF74" i="4"/>
  <c r="AF40" i="4"/>
  <c r="AF71" i="4"/>
  <c r="AF30" i="4"/>
  <c r="AF58" i="4"/>
  <c r="AF37" i="4"/>
  <c r="AF75" i="4"/>
  <c r="AF24" i="4"/>
  <c r="AF52" i="4"/>
  <c r="AF21" i="4"/>
  <c r="AF65" i="4"/>
  <c r="AF12" i="4"/>
  <c r="AF80" i="4"/>
  <c r="AF86" i="4"/>
  <c r="AF47" i="4"/>
  <c r="AF28" i="4"/>
  <c r="AF77" i="4"/>
  <c r="AF13" i="4"/>
  <c r="AF66" i="4"/>
  <c r="AF43" i="4"/>
  <c r="AF23" i="4"/>
  <c r="AF55" i="4"/>
  <c r="AF85" i="4"/>
  <c r="AF57" i="4"/>
  <c r="AF62" i="4"/>
  <c r="AF67" i="4"/>
  <c r="AF72" i="4"/>
  <c r="AF54" i="4"/>
  <c r="AF39" i="4"/>
  <c r="AF83" i="4"/>
  <c r="AF69" i="4"/>
  <c r="AF84" i="4"/>
  <c r="AF50" i="4"/>
  <c r="AF34" i="4"/>
  <c r="AF31" i="4"/>
  <c r="AF59" i="4"/>
  <c r="AF61" i="4"/>
  <c r="AF68" i="4"/>
  <c r="AF10" i="4"/>
  <c r="AF27" i="4"/>
  <c r="AF56" i="4"/>
  <c r="AF87" i="4"/>
  <c r="AF15" i="4"/>
  <c r="AF35" i="4"/>
  <c r="AF53" i="4"/>
  <c r="AF44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S8" i="4" l="1"/>
  <c r="U8" i="4" s="1"/>
  <c r="S19" i="4" l="1"/>
  <c r="U19" i="4" s="1"/>
  <c r="S10" i="4" l="1"/>
  <c r="U10" i="4" s="1"/>
  <c r="S12" i="4"/>
  <c r="U12" i="4" s="1"/>
  <c r="S13" i="4"/>
  <c r="U13" i="4" s="1"/>
  <c r="S15" i="4"/>
  <c r="U15" i="4" s="1"/>
  <c r="S16" i="4"/>
  <c r="U16" i="4" s="1"/>
  <c r="S18" i="4"/>
  <c r="U18" i="4" s="1"/>
  <c r="S20" i="4"/>
  <c r="U20" i="4" s="1"/>
  <c r="S22" i="4"/>
  <c r="U22" i="4" s="1"/>
  <c r="S23" i="4"/>
  <c r="U23" i="4" s="1"/>
  <c r="S25" i="4"/>
  <c r="U25" i="4" s="1"/>
  <c r="S27" i="4"/>
  <c r="U27" i="4" s="1"/>
  <c r="S28" i="4"/>
  <c r="U28" i="4" s="1"/>
  <c r="S30" i="4"/>
  <c r="U30" i="4" s="1"/>
  <c r="S32" i="4"/>
  <c r="U32" i="4" s="1"/>
  <c r="S35" i="4"/>
  <c r="U35" i="4" s="1"/>
  <c r="S37" i="4"/>
  <c r="U37" i="4" s="1"/>
  <c r="S38" i="4"/>
  <c r="U38" i="4" s="1"/>
  <c r="S40" i="4"/>
  <c r="U40" i="4" s="1"/>
  <c r="S42" i="4"/>
  <c r="U42" i="4" s="1"/>
  <c r="S44" i="4"/>
  <c r="U44" i="4" s="1"/>
  <c r="S45" i="4"/>
  <c r="U45" i="4" s="1"/>
  <c r="S47" i="4"/>
  <c r="U47" i="4" s="1"/>
  <c r="S48" i="4"/>
  <c r="U48" i="4" s="1"/>
  <c r="S49" i="4"/>
  <c r="U49" i="4" s="1"/>
  <c r="S50" i="4"/>
  <c r="U50" i="4" s="1"/>
  <c r="S52" i="4"/>
  <c r="U52" i="4" s="1"/>
  <c r="S53" i="4"/>
  <c r="U53" i="4" s="1"/>
  <c r="S55" i="4"/>
  <c r="U55" i="4" s="1"/>
  <c r="S56" i="4"/>
  <c r="U56" i="4" s="1"/>
  <c r="S57" i="4"/>
  <c r="U57" i="4" s="1"/>
  <c r="S58" i="4"/>
  <c r="U58" i="4" s="1"/>
  <c r="S59" i="4"/>
  <c r="U59" i="4" s="1"/>
  <c r="S60" i="4"/>
  <c r="U60" i="4" s="1"/>
  <c r="S61" i="4"/>
  <c r="U61" i="4" s="1"/>
  <c r="S62" i="4"/>
  <c r="U62" i="4" s="1"/>
  <c r="S63" i="4"/>
  <c r="U63" i="4" s="1"/>
  <c r="S64" i="4"/>
  <c r="U64" i="4" s="1"/>
  <c r="S65" i="4"/>
  <c r="U65" i="4" s="1"/>
  <c r="S67" i="4"/>
  <c r="U67" i="4" s="1"/>
  <c r="S70" i="4"/>
  <c r="U70" i="4" s="1"/>
  <c r="S71" i="4"/>
  <c r="U71" i="4" s="1"/>
  <c r="S72" i="4"/>
  <c r="U72" i="4" s="1"/>
  <c r="S73" i="4"/>
  <c r="U73" i="4" s="1"/>
  <c r="S74" i="4"/>
  <c r="U74" i="4" s="1"/>
  <c r="S75" i="4"/>
  <c r="U75" i="4" s="1"/>
  <c r="S77" i="4"/>
  <c r="U77" i="4" s="1"/>
  <c r="S78" i="4"/>
  <c r="U78" i="4" s="1"/>
  <c r="S79" i="4"/>
  <c r="U79" i="4" s="1"/>
  <c r="S81" i="4"/>
  <c r="U81" i="4" s="1"/>
  <c r="S82" i="4"/>
  <c r="U82" i="4" s="1"/>
  <c r="S83" i="4"/>
  <c r="U83" i="4" s="1"/>
  <c r="S84" i="4"/>
  <c r="U84" i="4" s="1"/>
  <c r="S85" i="4"/>
  <c r="U85" i="4" s="1"/>
  <c r="S86" i="4"/>
  <c r="U86" i="4" s="1"/>
  <c r="S87" i="4"/>
  <c r="U87" i="4" s="1"/>
  <c r="S88" i="4"/>
  <c r="U88" i="4" s="1"/>
  <c r="S89" i="4"/>
  <c r="U89" i="4" s="1"/>
  <c r="L89" i="4"/>
  <c r="H89" i="4"/>
  <c r="L88" i="4"/>
  <c r="H88" i="4"/>
  <c r="L87" i="4"/>
  <c r="M87" i="4" s="1"/>
  <c r="H87" i="4"/>
  <c r="L86" i="4"/>
  <c r="M86" i="4" s="1"/>
  <c r="H86" i="4"/>
  <c r="L85" i="4"/>
  <c r="H85" i="4"/>
  <c r="L84" i="4"/>
  <c r="H84" i="4"/>
  <c r="L83" i="4"/>
  <c r="M83" i="4" s="1"/>
  <c r="H83" i="4"/>
  <c r="L82" i="4"/>
  <c r="M82" i="4" s="1"/>
  <c r="H82" i="4"/>
  <c r="L81" i="4"/>
  <c r="H81" i="4"/>
  <c r="S80" i="4"/>
  <c r="U80" i="4" s="1"/>
  <c r="L80" i="4"/>
  <c r="M80" i="4" s="1"/>
  <c r="H80" i="4"/>
  <c r="L79" i="4"/>
  <c r="H79" i="4"/>
  <c r="L78" i="4"/>
  <c r="M78" i="4" s="1"/>
  <c r="H78" i="4"/>
  <c r="L77" i="4"/>
  <c r="H77" i="4"/>
  <c r="S76" i="4"/>
  <c r="U76" i="4" s="1"/>
  <c r="L76" i="4"/>
  <c r="M76" i="4" s="1"/>
  <c r="H76" i="4"/>
  <c r="L75" i="4"/>
  <c r="M75" i="4" s="1"/>
  <c r="H75" i="4"/>
  <c r="L74" i="4"/>
  <c r="M74" i="4" s="1"/>
  <c r="H74" i="4"/>
  <c r="L73" i="4"/>
  <c r="M73" i="4" s="1"/>
  <c r="O73" i="4" s="1"/>
  <c r="H73" i="4"/>
  <c r="L72" i="4"/>
  <c r="H72" i="4"/>
  <c r="L71" i="4"/>
  <c r="M71" i="4" s="1"/>
  <c r="O71" i="4" s="1"/>
  <c r="H71" i="4"/>
  <c r="L70" i="4"/>
  <c r="H70" i="4"/>
  <c r="S69" i="4"/>
  <c r="U69" i="4" s="1"/>
  <c r="L69" i="4"/>
  <c r="M69" i="4" s="1"/>
  <c r="O69" i="4" s="1"/>
  <c r="H69" i="4"/>
  <c r="S68" i="4"/>
  <c r="U68" i="4" s="1"/>
  <c r="L68" i="4"/>
  <c r="M68" i="4" s="1"/>
  <c r="O68" i="4" s="1"/>
  <c r="H68" i="4"/>
  <c r="L67" i="4"/>
  <c r="H67" i="4"/>
  <c r="S66" i="4"/>
  <c r="U66" i="4" s="1"/>
  <c r="L66" i="4"/>
  <c r="M66" i="4" s="1"/>
  <c r="H66" i="4"/>
  <c r="L65" i="4"/>
  <c r="H65" i="4"/>
  <c r="L64" i="4"/>
  <c r="M64" i="4" s="1"/>
  <c r="O64" i="4" s="1"/>
  <c r="H64" i="4"/>
  <c r="L63" i="4"/>
  <c r="M63" i="4" s="1"/>
  <c r="O63" i="4" s="1"/>
  <c r="H63" i="4"/>
  <c r="P62" i="4"/>
  <c r="H62" i="4"/>
  <c r="L61" i="4"/>
  <c r="H61" i="4"/>
  <c r="L60" i="4"/>
  <c r="H60" i="4"/>
  <c r="L59" i="4"/>
  <c r="H59" i="4"/>
  <c r="L58" i="4"/>
  <c r="H58" i="4"/>
  <c r="L57" i="4"/>
  <c r="H57" i="4"/>
  <c r="L56" i="4"/>
  <c r="H56" i="4"/>
  <c r="L55" i="4"/>
  <c r="H55" i="4"/>
  <c r="S54" i="4"/>
  <c r="U54" i="4" s="1"/>
  <c r="P54" i="4"/>
  <c r="H54" i="4"/>
  <c r="L53" i="4"/>
  <c r="M53" i="4" s="1"/>
  <c r="O53" i="4" s="1"/>
  <c r="P53" i="4" s="1"/>
  <c r="H53" i="4"/>
  <c r="L52" i="4"/>
  <c r="M52" i="4" s="1"/>
  <c r="H52" i="4"/>
  <c r="S51" i="4"/>
  <c r="U51" i="4" s="1"/>
  <c r="L51" i="4"/>
  <c r="H51" i="4"/>
  <c r="L50" i="4"/>
  <c r="M50" i="4" s="1"/>
  <c r="H50" i="4"/>
  <c r="L49" i="4"/>
  <c r="M49" i="4" s="1"/>
  <c r="H49" i="4"/>
  <c r="L48" i="4"/>
  <c r="H48" i="4"/>
  <c r="L47" i="4"/>
  <c r="M47" i="4" s="1"/>
  <c r="O47" i="4" s="1"/>
  <c r="H47" i="4"/>
  <c r="S46" i="4"/>
  <c r="U46" i="4" s="1"/>
  <c r="L46" i="4"/>
  <c r="M46" i="4" s="1"/>
  <c r="H46" i="4"/>
  <c r="L45" i="4"/>
  <c r="H45" i="4"/>
  <c r="L44" i="4"/>
  <c r="H44" i="4"/>
  <c r="S43" i="4"/>
  <c r="U43" i="4" s="1"/>
  <c r="L43" i="4"/>
  <c r="H43" i="4"/>
  <c r="L42" i="4"/>
  <c r="M42" i="4" s="1"/>
  <c r="O42" i="4" s="1"/>
  <c r="H42" i="4"/>
  <c r="S41" i="4"/>
  <c r="U41" i="4" s="1"/>
  <c r="L41" i="4"/>
  <c r="H41" i="4"/>
  <c r="L40" i="4"/>
  <c r="M40" i="4" s="1"/>
  <c r="O40" i="4" s="1"/>
  <c r="H40" i="4"/>
  <c r="S39" i="4"/>
  <c r="U39" i="4" s="1"/>
  <c r="L39" i="4"/>
  <c r="M39" i="4" s="1"/>
  <c r="H39" i="4"/>
  <c r="L38" i="4"/>
  <c r="M38" i="4" s="1"/>
  <c r="H38" i="4"/>
  <c r="L37" i="4"/>
  <c r="H37" i="4"/>
  <c r="S36" i="4"/>
  <c r="U36" i="4" s="1"/>
  <c r="L36" i="4"/>
  <c r="H36" i="4"/>
  <c r="L35" i="4"/>
  <c r="M35" i="4" s="1"/>
  <c r="H35" i="4"/>
  <c r="S34" i="4"/>
  <c r="U34" i="4" s="1"/>
  <c r="L34" i="4"/>
  <c r="M34" i="4" s="1"/>
  <c r="H34" i="4"/>
  <c r="S33" i="4"/>
  <c r="U33" i="4" s="1"/>
  <c r="L33" i="4"/>
  <c r="H33" i="4"/>
  <c r="L32" i="4"/>
  <c r="M32" i="4" s="1"/>
  <c r="O32" i="4" s="1"/>
  <c r="H32" i="4"/>
  <c r="S31" i="4"/>
  <c r="U31" i="4" s="1"/>
  <c r="L31" i="4"/>
  <c r="M31" i="4" s="1"/>
  <c r="H31" i="4"/>
  <c r="L30" i="4"/>
  <c r="M30" i="4" s="1"/>
  <c r="H30" i="4"/>
  <c r="S29" i="4"/>
  <c r="U29" i="4" s="1"/>
  <c r="L29" i="4"/>
  <c r="M29" i="4" s="1"/>
  <c r="H29" i="4"/>
  <c r="L28" i="4"/>
  <c r="H28" i="4"/>
  <c r="L27" i="4"/>
  <c r="H27" i="4"/>
  <c r="S26" i="4"/>
  <c r="U26" i="4" s="1"/>
  <c r="L26" i="4"/>
  <c r="H26" i="4"/>
  <c r="L25" i="4"/>
  <c r="M25" i="4" s="1"/>
  <c r="H25" i="4"/>
  <c r="S24" i="4"/>
  <c r="U24" i="4" s="1"/>
  <c r="L24" i="4"/>
  <c r="M24" i="4" s="1"/>
  <c r="H24" i="4"/>
  <c r="L23" i="4"/>
  <c r="M23" i="4" s="1"/>
  <c r="H23" i="4"/>
  <c r="L22" i="4"/>
  <c r="M22" i="4" s="1"/>
  <c r="H22" i="4"/>
  <c r="S21" i="4"/>
  <c r="U21" i="4" s="1"/>
  <c r="P21" i="4"/>
  <c r="H21" i="4"/>
  <c r="L20" i="4"/>
  <c r="H20" i="4"/>
  <c r="P19" i="4"/>
  <c r="H19" i="4"/>
  <c r="L18" i="4"/>
  <c r="M18" i="4" s="1"/>
  <c r="O18" i="4" s="1"/>
  <c r="P18" i="4" s="1"/>
  <c r="H18" i="4"/>
  <c r="S17" i="4"/>
  <c r="U17" i="4" s="1"/>
  <c r="L17" i="4"/>
  <c r="M17" i="4" s="1"/>
  <c r="H17" i="4"/>
  <c r="L16" i="4"/>
  <c r="M16" i="4" s="1"/>
  <c r="H16" i="4"/>
  <c r="L15" i="4"/>
  <c r="H15" i="4"/>
  <c r="S14" i="4"/>
  <c r="U14" i="4" s="1"/>
  <c r="L14" i="4"/>
  <c r="M14" i="4" s="1"/>
  <c r="H14" i="4"/>
  <c r="L13" i="4"/>
  <c r="M13" i="4" s="1"/>
  <c r="H13" i="4"/>
  <c r="P12" i="4"/>
  <c r="H12" i="4"/>
  <c r="S11" i="4"/>
  <c r="U11" i="4" s="1"/>
  <c r="L11" i="4"/>
  <c r="H11" i="4"/>
  <c r="L10" i="4"/>
  <c r="M10" i="4" s="1"/>
  <c r="H10" i="4"/>
  <c r="S9" i="4"/>
  <c r="U9" i="4" s="1"/>
  <c r="L9" i="4"/>
  <c r="M9" i="4" s="1"/>
  <c r="H9" i="4"/>
  <c r="L8" i="4"/>
  <c r="H8" i="4"/>
  <c r="U91" i="4" l="1"/>
  <c r="V3" i="4" s="1"/>
  <c r="Q53" i="4"/>
  <c r="T53" i="4"/>
  <c r="V53" i="4" s="1"/>
  <c r="W53" i="4" s="1"/>
  <c r="X53" i="4" s="1"/>
  <c r="Q54" i="4"/>
  <c r="T54" i="4"/>
  <c r="V54" i="4" s="1"/>
  <c r="W54" i="4" s="1"/>
  <c r="X54" i="4" s="1"/>
  <c r="Q62" i="4"/>
  <c r="T62" i="4"/>
  <c r="V62" i="4" s="1"/>
  <c r="W62" i="4" s="1"/>
  <c r="X62" i="4" s="1"/>
  <c r="Q18" i="4"/>
  <c r="T18" i="4"/>
  <c r="V18" i="4" s="1"/>
  <c r="W18" i="4" s="1"/>
  <c r="X18" i="4" s="1"/>
  <c r="Q21" i="4"/>
  <c r="T21" i="4"/>
  <c r="V21" i="4" s="1"/>
  <c r="W21" i="4" s="1"/>
  <c r="X21" i="4" s="1"/>
  <c r="Q12" i="4"/>
  <c r="T12" i="4"/>
  <c r="V12" i="4" s="1"/>
  <c r="W12" i="4" s="1"/>
  <c r="X12" i="4" s="1"/>
  <c r="Q19" i="4"/>
  <c r="T19" i="4"/>
  <c r="V19" i="4" s="1"/>
  <c r="W19" i="4" s="1"/>
  <c r="X19" i="4" s="1"/>
  <c r="M70" i="4"/>
  <c r="O70" i="4" s="1"/>
  <c r="P70" i="4" s="1"/>
  <c r="O39" i="4"/>
  <c r="P39" i="4" s="1"/>
  <c r="O16" i="4"/>
  <c r="P16" i="4" s="1"/>
  <c r="O66" i="4"/>
  <c r="P66" i="4" s="1"/>
  <c r="O14" i="4"/>
  <c r="P14" i="4" s="1"/>
  <c r="M67" i="4"/>
  <c r="O67" i="4" s="1"/>
  <c r="P67" i="4" s="1"/>
  <c r="M72" i="4"/>
  <c r="O72" i="4" s="1"/>
  <c r="P72" i="4" s="1"/>
  <c r="M11" i="4"/>
  <c r="O11" i="4" s="1"/>
  <c r="M36" i="4"/>
  <c r="O36" i="4" s="1"/>
  <c r="P47" i="4"/>
  <c r="M20" i="4"/>
  <c r="O20" i="4" s="1"/>
  <c r="M43" i="4"/>
  <c r="O43" i="4" s="1"/>
  <c r="M65" i="4"/>
  <c r="O65" i="4" s="1"/>
  <c r="P65" i="4" s="1"/>
  <c r="M8" i="4"/>
  <c r="O8" i="4" s="1"/>
  <c r="P8" i="4" s="1"/>
  <c r="M15" i="4"/>
  <c r="O15" i="4" s="1"/>
  <c r="P15" i="4" s="1"/>
  <c r="O35" i="4"/>
  <c r="P35" i="4" s="1"/>
  <c r="O10" i="4"/>
  <c r="P10" i="4" s="1"/>
  <c r="O13" i="4"/>
  <c r="P13" i="4" s="1"/>
  <c r="M26" i="4"/>
  <c r="O26" i="4" s="1"/>
  <c r="P26" i="4" s="1"/>
  <c r="R91" i="4"/>
  <c r="O24" i="4"/>
  <c r="P24" i="4" s="1"/>
  <c r="O31" i="4"/>
  <c r="P31" i="4" s="1"/>
  <c r="P40" i="4"/>
  <c r="O9" i="4"/>
  <c r="P9" i="4" s="1"/>
  <c r="O17" i="4"/>
  <c r="P17" i="4" s="1"/>
  <c r="O25" i="4"/>
  <c r="P25" i="4" s="1"/>
  <c r="P32" i="4"/>
  <c r="P42" i="4"/>
  <c r="O46" i="4"/>
  <c r="P46" i="4" s="1"/>
  <c r="J91" i="4"/>
  <c r="H91" i="4"/>
  <c r="O22" i="4"/>
  <c r="P22" i="4" s="1"/>
  <c r="O52" i="4"/>
  <c r="P52" i="4" s="1"/>
  <c r="O75" i="4"/>
  <c r="P75" i="4" s="1"/>
  <c r="M27" i="4"/>
  <c r="O27" i="4" s="1"/>
  <c r="P27" i="4" s="1"/>
  <c r="O38" i="4"/>
  <c r="P38" i="4" s="1"/>
  <c r="O23" i="4"/>
  <c r="P23" i="4" s="1"/>
  <c r="M28" i="4"/>
  <c r="O30" i="4"/>
  <c r="P30" i="4" s="1"/>
  <c r="O34" i="4"/>
  <c r="P34" i="4" s="1"/>
  <c r="M45" i="4"/>
  <c r="O45" i="4" s="1"/>
  <c r="P45" i="4" s="1"/>
  <c r="O49" i="4"/>
  <c r="P49" i="4" s="1"/>
  <c r="O29" i="4"/>
  <c r="P29" i="4" s="1"/>
  <c r="M81" i="4"/>
  <c r="O50" i="4"/>
  <c r="P50" i="4" s="1"/>
  <c r="O86" i="4"/>
  <c r="P86" i="4" s="1"/>
  <c r="M84" i="4"/>
  <c r="O84" i="4" s="1"/>
  <c r="P84" i="4" s="1"/>
  <c r="M33" i="4"/>
  <c r="M37" i="4"/>
  <c r="O37" i="4" s="1"/>
  <c r="M41" i="4"/>
  <c r="M44" i="4"/>
  <c r="M48" i="4"/>
  <c r="O48" i="4" s="1"/>
  <c r="M51" i="4"/>
  <c r="O51" i="4" s="1"/>
  <c r="M56" i="4"/>
  <c r="O56" i="4" s="1"/>
  <c r="M79" i="4"/>
  <c r="M88" i="4"/>
  <c r="M77" i="4"/>
  <c r="O77" i="4" s="1"/>
  <c r="P77" i="4" s="1"/>
  <c r="O82" i="4"/>
  <c r="P82" i="4" s="1"/>
  <c r="M58" i="4"/>
  <c r="O58" i="4" s="1"/>
  <c r="M60" i="4"/>
  <c r="P69" i="4"/>
  <c r="P71" i="4"/>
  <c r="P73" i="4"/>
  <c r="O76" i="4"/>
  <c r="P76" i="4" s="1"/>
  <c r="O80" i="4"/>
  <c r="P80" i="4" s="1"/>
  <c r="O83" i="4"/>
  <c r="P83" i="4" s="1"/>
  <c r="O87" i="4"/>
  <c r="P87" i="4" s="1"/>
  <c r="P63" i="4"/>
  <c r="P64" i="4"/>
  <c r="P68" i="4"/>
  <c r="O74" i="4"/>
  <c r="P74" i="4" s="1"/>
  <c r="O78" i="4"/>
  <c r="P78" i="4" s="1"/>
  <c r="M55" i="4"/>
  <c r="O55" i="4" s="1"/>
  <c r="M57" i="4"/>
  <c r="O57" i="4" s="1"/>
  <c r="M59" i="4"/>
  <c r="O59" i="4" s="1"/>
  <c r="M61" i="4"/>
  <c r="O61" i="4" s="1"/>
  <c r="M85" i="4"/>
  <c r="O85" i="4" s="1"/>
  <c r="P85" i="4" s="1"/>
  <c r="M89" i="4"/>
  <c r="O89" i="4" s="1"/>
  <c r="Q76" i="4" l="1"/>
  <c r="T76" i="4"/>
  <c r="V76" i="4" s="1"/>
  <c r="W76" i="4" s="1"/>
  <c r="X76" i="4" s="1"/>
  <c r="Q71" i="4"/>
  <c r="T71" i="4"/>
  <c r="V71" i="4" s="1"/>
  <c r="W71" i="4" s="1"/>
  <c r="X71" i="4" s="1"/>
  <c r="Q80" i="4"/>
  <c r="T80" i="4"/>
  <c r="V80" i="4" s="1"/>
  <c r="W80" i="4" s="1"/>
  <c r="X80" i="4" s="1"/>
  <c r="Q77" i="4"/>
  <c r="T77" i="4"/>
  <c r="V77" i="4" s="1"/>
  <c r="W77" i="4" s="1"/>
  <c r="X77" i="4" s="1"/>
  <c r="Q45" i="4"/>
  <c r="T45" i="4"/>
  <c r="V45" i="4" s="1"/>
  <c r="W45" i="4" s="1"/>
  <c r="X45" i="4" s="1"/>
  <c r="Q52" i="4"/>
  <c r="T52" i="4"/>
  <c r="V52" i="4" s="1"/>
  <c r="W52" i="4" s="1"/>
  <c r="X52" i="4" s="1"/>
  <c r="Q17" i="4"/>
  <c r="T17" i="4"/>
  <c r="V17" i="4" s="1"/>
  <c r="W17" i="4" s="1"/>
  <c r="X17" i="4" s="1"/>
  <c r="Q10" i="4"/>
  <c r="T10" i="4"/>
  <c r="V10" i="4" s="1"/>
  <c r="W10" i="4" s="1"/>
  <c r="X10" i="4" s="1"/>
  <c r="Q70" i="4"/>
  <c r="T70" i="4"/>
  <c r="V70" i="4" s="1"/>
  <c r="W70" i="4" s="1"/>
  <c r="X70" i="4" s="1"/>
  <c r="Q74" i="4"/>
  <c r="T74" i="4"/>
  <c r="V74" i="4" s="1"/>
  <c r="W74" i="4" s="1"/>
  <c r="X74" i="4" s="1"/>
  <c r="Q31" i="4"/>
  <c r="T31" i="4"/>
  <c r="V31" i="4" s="1"/>
  <c r="W31" i="4" s="1"/>
  <c r="X31" i="4" s="1"/>
  <c r="T8" i="4"/>
  <c r="Q8" i="4"/>
  <c r="Q67" i="4"/>
  <c r="T67" i="4"/>
  <c r="V67" i="4" s="1"/>
  <c r="W67" i="4" s="1"/>
  <c r="X67" i="4" s="1"/>
  <c r="Q22" i="4"/>
  <c r="T22" i="4"/>
  <c r="V22" i="4" s="1"/>
  <c r="W22" i="4" s="1"/>
  <c r="X22" i="4" s="1"/>
  <c r="Q15" i="4"/>
  <c r="T15" i="4"/>
  <c r="V15" i="4" s="1"/>
  <c r="W15" i="4" s="1"/>
  <c r="X15" i="4" s="1"/>
  <c r="Q85" i="4"/>
  <c r="T85" i="4"/>
  <c r="V85" i="4" s="1"/>
  <c r="W85" i="4" s="1"/>
  <c r="X85" i="4" s="1"/>
  <c r="Q64" i="4"/>
  <c r="T64" i="4"/>
  <c r="V64" i="4" s="1"/>
  <c r="W64" i="4" s="1"/>
  <c r="X64" i="4" s="1"/>
  <c r="Q69" i="4"/>
  <c r="T69" i="4"/>
  <c r="V69" i="4" s="1"/>
  <c r="W69" i="4" s="1"/>
  <c r="X69" i="4" s="1"/>
  <c r="Q50" i="4"/>
  <c r="T50" i="4"/>
  <c r="V50" i="4" s="1"/>
  <c r="W50" i="4" s="1"/>
  <c r="X50" i="4" s="1"/>
  <c r="Q23" i="4"/>
  <c r="T23" i="4"/>
  <c r="V23" i="4" s="1"/>
  <c r="W23" i="4" s="1"/>
  <c r="X23" i="4" s="1"/>
  <c r="Q46" i="4"/>
  <c r="T46" i="4"/>
  <c r="V46" i="4" s="1"/>
  <c r="W46" i="4" s="1"/>
  <c r="X46" i="4" s="1"/>
  <c r="Q24" i="4"/>
  <c r="T24" i="4"/>
  <c r="V24" i="4" s="1"/>
  <c r="W24" i="4" s="1"/>
  <c r="X24" i="4" s="1"/>
  <c r="Q65" i="4"/>
  <c r="T65" i="4"/>
  <c r="V65" i="4" s="1"/>
  <c r="W65" i="4" s="1"/>
  <c r="X65" i="4" s="1"/>
  <c r="Q14" i="4"/>
  <c r="T14" i="4"/>
  <c r="V14" i="4" s="1"/>
  <c r="W14" i="4" s="1"/>
  <c r="X14" i="4" s="1"/>
  <c r="Q78" i="4"/>
  <c r="T78" i="4"/>
  <c r="V78" i="4" s="1"/>
  <c r="W78" i="4" s="1"/>
  <c r="X78" i="4" s="1"/>
  <c r="Q34" i="4"/>
  <c r="T34" i="4"/>
  <c r="V34" i="4" s="1"/>
  <c r="W34" i="4" s="1"/>
  <c r="X34" i="4" s="1"/>
  <c r="Q84" i="4"/>
  <c r="T84" i="4"/>
  <c r="V84" i="4" s="1"/>
  <c r="W84" i="4" s="1"/>
  <c r="X84" i="4" s="1"/>
  <c r="Q86" i="4"/>
  <c r="T86" i="4"/>
  <c r="V86" i="4" s="1"/>
  <c r="W86" i="4" s="1"/>
  <c r="X86" i="4" s="1"/>
  <c r="Q66" i="4"/>
  <c r="T66" i="4"/>
  <c r="V66" i="4" s="1"/>
  <c r="W66" i="4" s="1"/>
  <c r="X66" i="4" s="1"/>
  <c r="Q35" i="4"/>
  <c r="T35" i="4"/>
  <c r="V35" i="4" s="1"/>
  <c r="W35" i="4" s="1"/>
  <c r="X35" i="4" s="1"/>
  <c r="Q30" i="4"/>
  <c r="T30" i="4"/>
  <c r="V30" i="4" s="1"/>
  <c r="W30" i="4" s="1"/>
  <c r="X30" i="4" s="1"/>
  <c r="Q40" i="4"/>
  <c r="T40" i="4"/>
  <c r="V40" i="4" s="1"/>
  <c r="W40" i="4" s="1"/>
  <c r="X40" i="4" s="1"/>
  <c r="Q42" i="4"/>
  <c r="T42" i="4"/>
  <c r="V42" i="4" s="1"/>
  <c r="W42" i="4" s="1"/>
  <c r="X42" i="4" s="1"/>
  <c r="Q27" i="4"/>
  <c r="T27" i="4"/>
  <c r="V27" i="4" s="1"/>
  <c r="W27" i="4" s="1"/>
  <c r="X27" i="4" s="1"/>
  <c r="Q32" i="4"/>
  <c r="T32" i="4"/>
  <c r="V32" i="4" s="1"/>
  <c r="W32" i="4" s="1"/>
  <c r="X32" i="4" s="1"/>
  <c r="Q26" i="4"/>
  <c r="T26" i="4"/>
  <c r="V26" i="4" s="1"/>
  <c r="W26" i="4" s="1"/>
  <c r="X26" i="4" s="1"/>
  <c r="Q16" i="4"/>
  <c r="T16" i="4"/>
  <c r="V16" i="4" s="1"/>
  <c r="W16" i="4" s="1"/>
  <c r="X16" i="4" s="1"/>
  <c r="Q9" i="4"/>
  <c r="T9" i="4"/>
  <c r="V9" i="4" s="1"/>
  <c r="W9" i="4" s="1"/>
  <c r="X9" i="4" s="1"/>
  <c r="Q73" i="4"/>
  <c r="T73" i="4"/>
  <c r="V73" i="4" s="1"/>
  <c r="W73" i="4" s="1"/>
  <c r="X73" i="4" s="1"/>
  <c r="Q72" i="4"/>
  <c r="T72" i="4"/>
  <c r="V72" i="4" s="1"/>
  <c r="W72" i="4" s="1"/>
  <c r="X72" i="4" s="1"/>
  <c r="Q68" i="4"/>
  <c r="T68" i="4"/>
  <c r="V68" i="4" s="1"/>
  <c r="W68" i="4" s="1"/>
  <c r="X68" i="4" s="1"/>
  <c r="Q63" i="4"/>
  <c r="T63" i="4"/>
  <c r="V63" i="4" s="1"/>
  <c r="W63" i="4" s="1"/>
  <c r="X63" i="4" s="1"/>
  <c r="Q38" i="4"/>
  <c r="T38" i="4"/>
  <c r="V38" i="4" s="1"/>
  <c r="W38" i="4" s="1"/>
  <c r="X38" i="4" s="1"/>
  <c r="Q87" i="4"/>
  <c r="T87" i="4"/>
  <c r="V87" i="4" s="1"/>
  <c r="W87" i="4" s="1"/>
  <c r="X87" i="4" s="1"/>
  <c r="Q29" i="4"/>
  <c r="T29" i="4"/>
  <c r="V29" i="4" s="1"/>
  <c r="W29" i="4" s="1"/>
  <c r="X29" i="4" s="1"/>
  <c r="Q83" i="4"/>
  <c r="T83" i="4"/>
  <c r="V83" i="4" s="1"/>
  <c r="W83" i="4" s="1"/>
  <c r="X83" i="4" s="1"/>
  <c r="Q82" i="4"/>
  <c r="T82" i="4"/>
  <c r="V82" i="4" s="1"/>
  <c r="W82" i="4" s="1"/>
  <c r="X82" i="4" s="1"/>
  <c r="Q49" i="4"/>
  <c r="T49" i="4"/>
  <c r="V49" i="4" s="1"/>
  <c r="W49" i="4" s="1"/>
  <c r="X49" i="4" s="1"/>
  <c r="Q75" i="4"/>
  <c r="T75" i="4"/>
  <c r="V75" i="4" s="1"/>
  <c r="W75" i="4" s="1"/>
  <c r="X75" i="4" s="1"/>
  <c r="Q25" i="4"/>
  <c r="T25" i="4"/>
  <c r="V25" i="4" s="1"/>
  <c r="W25" i="4" s="1"/>
  <c r="X25" i="4" s="1"/>
  <c r="Q13" i="4"/>
  <c r="T13" i="4"/>
  <c r="V13" i="4" s="1"/>
  <c r="W13" i="4" s="1"/>
  <c r="X13" i="4" s="1"/>
  <c r="Q47" i="4"/>
  <c r="T47" i="4"/>
  <c r="V47" i="4" s="1"/>
  <c r="W47" i="4" s="1"/>
  <c r="X47" i="4" s="1"/>
  <c r="Q39" i="4"/>
  <c r="T39" i="4"/>
  <c r="V39" i="4" s="1"/>
  <c r="W39" i="4" s="1"/>
  <c r="X39" i="4" s="1"/>
  <c r="P61" i="4"/>
  <c r="P20" i="4"/>
  <c r="P43" i="4"/>
  <c r="P11" i="4"/>
  <c r="P89" i="4"/>
  <c r="P58" i="4"/>
  <c r="P36" i="4"/>
  <c r="O60" i="4"/>
  <c r="P60" i="4" s="1"/>
  <c r="P57" i="4"/>
  <c r="O79" i="4"/>
  <c r="P79" i="4" s="1"/>
  <c r="P37" i="4"/>
  <c r="P56" i="4"/>
  <c r="O81" i="4"/>
  <c r="P81" i="4" s="1"/>
  <c r="O33" i="4"/>
  <c r="P33" i="4" s="1"/>
  <c r="T33" i="4" s="1"/>
  <c r="V33" i="4" s="1"/>
  <c r="W33" i="4" s="1"/>
  <c r="X33" i="4" s="1"/>
  <c r="P59" i="4"/>
  <c r="P55" i="4"/>
  <c r="O88" i="4"/>
  <c r="P88" i="4" s="1"/>
  <c r="O41" i="4"/>
  <c r="P41" i="4" s="1"/>
  <c r="O28" i="4"/>
  <c r="P28" i="4" s="1"/>
  <c r="P51" i="4"/>
  <c r="P48" i="4"/>
  <c r="O44" i="4"/>
  <c r="P44" i="4" s="1"/>
  <c r="Y68" i="4" l="1"/>
  <c r="Z68" i="4" s="1"/>
  <c r="Q79" i="4"/>
  <c r="T79" i="4"/>
  <c r="V79" i="4" s="1"/>
  <c r="W79" i="4" s="1"/>
  <c r="X79" i="4" s="1"/>
  <c r="Q88" i="4"/>
  <c r="T88" i="4"/>
  <c r="V88" i="4" s="1"/>
  <c r="W88" i="4" s="1"/>
  <c r="X88" i="4" s="1"/>
  <c r="Q57" i="4"/>
  <c r="T57" i="4"/>
  <c r="V57" i="4" s="1"/>
  <c r="W57" i="4" s="1"/>
  <c r="X57" i="4" s="1"/>
  <c r="Q20" i="4"/>
  <c r="T20" i="4"/>
  <c r="V20" i="4" s="1"/>
  <c r="W20" i="4" s="1"/>
  <c r="X20" i="4" s="1"/>
  <c r="Q55" i="4"/>
  <c r="T55" i="4"/>
  <c r="V55" i="4" s="1"/>
  <c r="W55" i="4" s="1"/>
  <c r="X55" i="4" s="1"/>
  <c r="Q60" i="4"/>
  <c r="T60" i="4"/>
  <c r="V60" i="4" s="1"/>
  <c r="W60" i="4" s="1"/>
  <c r="X60" i="4" s="1"/>
  <c r="Q61" i="4"/>
  <c r="T61" i="4"/>
  <c r="V61" i="4" s="1"/>
  <c r="W61" i="4" s="1"/>
  <c r="X61" i="4" s="1"/>
  <c r="Q43" i="4"/>
  <c r="T43" i="4"/>
  <c r="V43" i="4" s="1"/>
  <c r="W43" i="4" s="1"/>
  <c r="X43" i="4" s="1"/>
  <c r="Q59" i="4"/>
  <c r="T59" i="4"/>
  <c r="V59" i="4" s="1"/>
  <c r="W59" i="4" s="1"/>
  <c r="X59" i="4" s="1"/>
  <c r="Q11" i="4"/>
  <c r="T11" i="4"/>
  <c r="V11" i="4" s="1"/>
  <c r="W11" i="4" s="1"/>
  <c r="X11" i="4" s="1"/>
  <c r="Q41" i="4"/>
  <c r="T41" i="4"/>
  <c r="V41" i="4" s="1"/>
  <c r="W41" i="4" s="1"/>
  <c r="X41" i="4" s="1"/>
  <c r="V8" i="4"/>
  <c r="W8" i="4" s="1"/>
  <c r="X8" i="4" s="1"/>
  <c r="Q44" i="4"/>
  <c r="T44" i="4"/>
  <c r="V44" i="4" s="1"/>
  <c r="W44" i="4" s="1"/>
  <c r="X44" i="4" s="1"/>
  <c r="Q36" i="4"/>
  <c r="T36" i="4"/>
  <c r="V36" i="4" s="1"/>
  <c r="W36" i="4" s="1"/>
  <c r="X36" i="4" s="1"/>
  <c r="Q37" i="4"/>
  <c r="T37" i="4"/>
  <c r="V37" i="4" s="1"/>
  <c r="W37" i="4" s="1"/>
  <c r="X37" i="4" s="1"/>
  <c r="Q48" i="4"/>
  <c r="T48" i="4"/>
  <c r="V48" i="4" s="1"/>
  <c r="W48" i="4" s="1"/>
  <c r="X48" i="4" s="1"/>
  <c r="Q58" i="4"/>
  <c r="T58" i="4"/>
  <c r="V58" i="4" s="1"/>
  <c r="W58" i="4" s="1"/>
  <c r="X58" i="4" s="1"/>
  <c r="Q28" i="4"/>
  <c r="T28" i="4"/>
  <c r="V28" i="4" s="1"/>
  <c r="W28" i="4" s="1"/>
  <c r="X28" i="4" s="1"/>
  <c r="Q81" i="4"/>
  <c r="T81" i="4"/>
  <c r="V81" i="4" s="1"/>
  <c r="W81" i="4" s="1"/>
  <c r="X81" i="4" s="1"/>
  <c r="Q51" i="4"/>
  <c r="T51" i="4"/>
  <c r="V51" i="4" s="1"/>
  <c r="W51" i="4" s="1"/>
  <c r="X51" i="4" s="1"/>
  <c r="Q56" i="4"/>
  <c r="T56" i="4"/>
  <c r="V56" i="4" s="1"/>
  <c r="W56" i="4" s="1"/>
  <c r="X56" i="4" s="1"/>
  <c r="Q89" i="4"/>
  <c r="T89" i="4"/>
  <c r="V89" i="4" s="1"/>
  <c r="W89" i="4" s="1"/>
  <c r="X89" i="4" s="1"/>
  <c r="Q33" i="4"/>
  <c r="P91" i="4"/>
  <c r="X91" i="4" l="1"/>
  <c r="V4" i="4" s="1"/>
  <c r="Q91" i="4"/>
  <c r="Y8" i="4" l="1"/>
  <c r="Y78" i="4"/>
  <c r="Z78" i="4" l="1"/>
  <c r="AA78" i="4" s="1"/>
  <c r="Z8" i="4"/>
  <c r="AA8" i="4" s="1"/>
  <c r="Y33" i="4"/>
  <c r="Y45" i="4"/>
  <c r="Y73" i="4"/>
  <c r="Y58" i="4"/>
  <c r="Y56" i="4"/>
  <c r="Y13" i="4"/>
  <c r="Y52" i="4"/>
  <c r="Y80" i="4"/>
  <c r="Y38" i="4"/>
  <c r="Y36" i="4"/>
  <c r="Y84" i="4"/>
  <c r="Y42" i="4"/>
  <c r="Y89" i="4"/>
  <c r="Y22" i="4"/>
  <c r="Y77" i="4"/>
  <c r="Y50" i="4"/>
  <c r="Y87" i="4"/>
  <c r="Y53" i="4"/>
  <c r="AA68" i="4"/>
  <c r="Y86" i="4"/>
  <c r="Y44" i="4"/>
  <c r="Y63" i="4"/>
  <c r="Y69" i="4"/>
  <c r="Y49" i="4"/>
  <c r="Y82" i="4"/>
  <c r="Y72" i="4"/>
  <c r="Y76" i="4"/>
  <c r="Y67" i="4"/>
  <c r="Y75" i="4"/>
  <c r="Y81" i="4"/>
  <c r="Y66" i="4"/>
  <c r="Y40" i="4"/>
  <c r="Y30" i="4"/>
  <c r="Y15" i="4"/>
  <c r="Y37" i="4"/>
  <c r="Y32" i="4"/>
  <c r="Y34" i="4"/>
  <c r="Y65" i="4"/>
  <c r="Y23" i="4"/>
  <c r="Y47" i="4"/>
  <c r="Y17" i="4"/>
  <c r="V91" i="4"/>
  <c r="Y12" i="4"/>
  <c r="Y14" i="4"/>
  <c r="Y11" i="4"/>
  <c r="Y35" i="4"/>
  <c r="Y18" i="4"/>
  <c r="Y25" i="4"/>
  <c r="Y9" i="4"/>
  <c r="Y24" i="4"/>
  <c r="Y61" i="4"/>
  <c r="Y31" i="4"/>
  <c r="Y74" i="4"/>
  <c r="Y85" i="4"/>
  <c r="Y83" i="4"/>
  <c r="Y10" i="4"/>
  <c r="Y71" i="4"/>
  <c r="Y26" i="4"/>
  <c r="Y70" i="4"/>
  <c r="Y28" i="4"/>
  <c r="Y57" i="4"/>
  <c r="Y60" i="4"/>
  <c r="Y48" i="4"/>
  <c r="Y59" i="4"/>
  <c r="Y55" i="4"/>
  <c r="Y88" i="4"/>
  <c r="Y51" i="4"/>
  <c r="Y79" i="4"/>
  <c r="Y46" i="4"/>
  <c r="Y29" i="4"/>
  <c r="Y41" i="4"/>
  <c r="Y27" i="4"/>
  <c r="Y20" i="4"/>
  <c r="Y64" i="4"/>
  <c r="Y39" i="4"/>
  <c r="Y16" i="4"/>
  <c r="Z79" i="4" l="1"/>
  <c r="AA79" i="4" s="1"/>
  <c r="Z67" i="4"/>
  <c r="AA67" i="4" s="1"/>
  <c r="Z39" i="4"/>
  <c r="AA39" i="4" s="1"/>
  <c r="Z51" i="4"/>
  <c r="AA51" i="4" s="1"/>
  <c r="Z70" i="4"/>
  <c r="AA70" i="4" s="1"/>
  <c r="Z61" i="4"/>
  <c r="AA61" i="4" s="1"/>
  <c r="Z12" i="4"/>
  <c r="AA12" i="4" s="1"/>
  <c r="Z37" i="4"/>
  <c r="AA37" i="4" s="1"/>
  <c r="Z76" i="4"/>
  <c r="AA76" i="4" s="1"/>
  <c r="Z84" i="4"/>
  <c r="AA84" i="4" s="1"/>
  <c r="Z73" i="4"/>
  <c r="AA73" i="4" s="1"/>
  <c r="Z15" i="4"/>
  <c r="AA15" i="4" s="1"/>
  <c r="Z72" i="4"/>
  <c r="AA72" i="4" s="1"/>
  <c r="Z53" i="4"/>
  <c r="AA53" i="4" s="1"/>
  <c r="Z36" i="4"/>
  <c r="AA36" i="4" s="1"/>
  <c r="Z45" i="4"/>
  <c r="AA45" i="4" s="1"/>
  <c r="Z58" i="4"/>
  <c r="AA58" i="4" s="1"/>
  <c r="Z55" i="4"/>
  <c r="AA55" i="4" s="1"/>
  <c r="Z9" i="4"/>
  <c r="AA9" i="4" s="1"/>
  <c r="Z17" i="4"/>
  <c r="AA17" i="4" s="1"/>
  <c r="Z30" i="4"/>
  <c r="AA30" i="4" s="1"/>
  <c r="Z82" i="4"/>
  <c r="AA82" i="4" s="1"/>
  <c r="Z87" i="4"/>
  <c r="AA87" i="4" s="1"/>
  <c r="Z38" i="4"/>
  <c r="AA38" i="4" s="1"/>
  <c r="Z33" i="4"/>
  <c r="AA33" i="4" s="1"/>
  <c r="Z28" i="4"/>
  <c r="AA28" i="4" s="1"/>
  <c r="Z32" i="4"/>
  <c r="AA32" i="4" s="1"/>
  <c r="Z26" i="4"/>
  <c r="AA26" i="4" s="1"/>
  <c r="Z27" i="4"/>
  <c r="AA27" i="4" s="1"/>
  <c r="Z25" i="4"/>
  <c r="AA25" i="4" s="1"/>
  <c r="Z47" i="4"/>
  <c r="AA47" i="4" s="1"/>
  <c r="Z40" i="4"/>
  <c r="AA40" i="4" s="1"/>
  <c r="Z49" i="4"/>
  <c r="AA49" i="4" s="1"/>
  <c r="Z50" i="4"/>
  <c r="AA50" i="4" s="1"/>
  <c r="Z80" i="4"/>
  <c r="AA80" i="4" s="1"/>
  <c r="Z31" i="4"/>
  <c r="AA31" i="4" s="1"/>
  <c r="Z14" i="4"/>
  <c r="AA14" i="4" s="1"/>
  <c r="Z24" i="4"/>
  <c r="AA24" i="4" s="1"/>
  <c r="Z10" i="4"/>
  <c r="AA10" i="4" s="1"/>
  <c r="Z41" i="4"/>
  <c r="AA41" i="4" s="1"/>
  <c r="Z48" i="4"/>
  <c r="AA48" i="4" s="1"/>
  <c r="Z83" i="4"/>
  <c r="AA83" i="4" s="1"/>
  <c r="Z18" i="4"/>
  <c r="AA18" i="4" s="1"/>
  <c r="Z23" i="4"/>
  <c r="AA23" i="4" s="1"/>
  <c r="Z66" i="4"/>
  <c r="AA66" i="4" s="1"/>
  <c r="Z69" i="4"/>
  <c r="AA69" i="4" s="1"/>
  <c r="Z77" i="4"/>
  <c r="AA77" i="4" s="1"/>
  <c r="Z52" i="4"/>
  <c r="AA52" i="4" s="1"/>
  <c r="Z42" i="4"/>
  <c r="AA42" i="4" s="1"/>
  <c r="Z64" i="4"/>
  <c r="AA64" i="4" s="1"/>
  <c r="Z71" i="4"/>
  <c r="AA71" i="4" s="1"/>
  <c r="Z60" i="4"/>
  <c r="AA60" i="4" s="1"/>
  <c r="Z35" i="4"/>
  <c r="AA35" i="4" s="1"/>
  <c r="Z65" i="4"/>
  <c r="AA65" i="4" s="1"/>
  <c r="Z63" i="4"/>
  <c r="AA63" i="4" s="1"/>
  <c r="Z22" i="4"/>
  <c r="AA22" i="4" s="1"/>
  <c r="Z13" i="4"/>
  <c r="AA13" i="4" s="1"/>
  <c r="Z16" i="4"/>
  <c r="AA16" i="4" s="1"/>
  <c r="Z86" i="4"/>
  <c r="AA86" i="4" s="1"/>
  <c r="Z88" i="4"/>
  <c r="AA88" i="4" s="1"/>
  <c r="Z20" i="4"/>
  <c r="AA20" i="4" s="1"/>
  <c r="Z59" i="4"/>
  <c r="AA59" i="4" s="1"/>
  <c r="Z29" i="4"/>
  <c r="AA29" i="4" s="1"/>
  <c r="Z85" i="4"/>
  <c r="AA85" i="4" s="1"/>
  <c r="Z81" i="4"/>
  <c r="AA81" i="4" s="1"/>
  <c r="Z46" i="4"/>
  <c r="AA46" i="4" s="1"/>
  <c r="Z57" i="4"/>
  <c r="AA57" i="4" s="1"/>
  <c r="Z74" i="4"/>
  <c r="AA74" i="4" s="1"/>
  <c r="Z11" i="4"/>
  <c r="AA11" i="4" s="1"/>
  <c r="Z34" i="4"/>
  <c r="AA34" i="4" s="1"/>
  <c r="Z75" i="4"/>
  <c r="AA75" i="4" s="1"/>
  <c r="Z44" i="4"/>
  <c r="AA44" i="4" s="1"/>
  <c r="Z89" i="4"/>
  <c r="AA89" i="4" s="1"/>
  <c r="Z56" i="4"/>
  <c r="AA56" i="4" s="1"/>
  <c r="Y43" i="4"/>
  <c r="Y54" i="4"/>
  <c r="Y62" i="4"/>
  <c r="Y21" i="4"/>
  <c r="Y19" i="4"/>
  <c r="Z19" i="4" s="1"/>
  <c r="Z62" i="4" l="1"/>
  <c r="AA62" i="4" s="1"/>
  <c r="Z43" i="4"/>
  <c r="AA43" i="4" s="1"/>
  <c r="Z21" i="4"/>
  <c r="AA21" i="4" s="1"/>
  <c r="Z54" i="4"/>
  <c r="AA54" i="4" s="1"/>
  <c r="AA19" i="4"/>
  <c r="V5" i="4"/>
  <c r="Y91" i="4"/>
  <c r="Z91" i="4" l="1"/>
  <c r="AA91" i="4"/>
</calcChain>
</file>

<file path=xl/sharedStrings.xml><?xml version="1.0" encoding="utf-8"?>
<sst xmlns="http://schemas.openxmlformats.org/spreadsheetml/2006/main" count="320" uniqueCount="300">
  <si>
    <t>Facility Name</t>
  </si>
  <si>
    <t>Address</t>
  </si>
  <si>
    <t xml:space="preserve">Bed Capacity </t>
  </si>
  <si>
    <t>State SSI Days (Cost Year 2019)</t>
  </si>
  <si>
    <t>7/1/2021 Fair Rent Add-On</t>
  </si>
  <si>
    <t>9/1/2020 Wage Increase (.4%)</t>
  </si>
  <si>
    <t>8/1/2021 Wage Increase (.47%)</t>
  </si>
  <si>
    <t>7/1/2021 Inflation Increase (3.17%)</t>
  </si>
  <si>
    <t>Report Period Start</t>
  </si>
  <si>
    <t>Report Period End</t>
  </si>
  <si>
    <t>Provider Number</t>
  </si>
  <si>
    <t>41731</t>
  </si>
  <si>
    <t>Alberta Manor, Inc</t>
  </si>
  <si>
    <t>41753</t>
  </si>
  <si>
    <t>April Time Residential Care Center</t>
  </si>
  <si>
    <t>41447</t>
  </si>
  <si>
    <t>Bacon &amp; Hinkley Home, Inc.</t>
  </si>
  <si>
    <t>45515</t>
  </si>
  <si>
    <t>Bethel Health Care-The Cascades (RCH)</t>
  </si>
  <si>
    <t>41848</t>
  </si>
  <si>
    <t>Blessed House</t>
  </si>
  <si>
    <t>2590</t>
  </si>
  <si>
    <t>Bradley Home &amp; Pavilion</t>
  </si>
  <si>
    <t>41773</t>
  </si>
  <si>
    <t>Briarcliff Convalescent Corp.</t>
  </si>
  <si>
    <t>41771</t>
  </si>
  <si>
    <t>Brookside Rest Home</t>
  </si>
  <si>
    <t>31267</t>
  </si>
  <si>
    <t>Card Home for the Aged, Inc.</t>
  </si>
  <si>
    <t>41855</t>
  </si>
  <si>
    <t>Caroline Manor</t>
  </si>
  <si>
    <t>41847</t>
  </si>
  <si>
    <t>Carriage Manor, LLC</t>
  </si>
  <si>
    <t>41707</t>
  </si>
  <si>
    <t>Change Meadowbrook Manor, Inc.</t>
  </si>
  <si>
    <t>41766</t>
  </si>
  <si>
    <t>Char-Laine Manor, Inc</t>
  </si>
  <si>
    <t>41730</t>
  </si>
  <si>
    <t>Complete Care at Groton Regency LLC</t>
  </si>
  <si>
    <t>41791</t>
  </si>
  <si>
    <t>Corner House Residential Care LLC</t>
  </si>
  <si>
    <t>41723</t>
  </si>
  <si>
    <t>Crestwood Manor, Inc</t>
  </si>
  <si>
    <t>31273</t>
  </si>
  <si>
    <t>Curtis Home-St. Elizabeth Center</t>
  </si>
  <si>
    <t>41705</t>
  </si>
  <si>
    <t>Eagle Landing Residential Care Home</t>
  </si>
  <si>
    <t>41689</t>
  </si>
  <si>
    <t>East Ridge Manor, Inc.</t>
  </si>
  <si>
    <t>1541</t>
  </si>
  <si>
    <t>Elim Park Baptist Home</t>
  </si>
  <si>
    <t>31279</t>
  </si>
  <si>
    <t>Eliza Huntington Mem. Home,  Inc.</t>
  </si>
  <si>
    <t>41764</t>
  </si>
  <si>
    <t>Elm Hill Manor, Inc.</t>
  </si>
  <si>
    <t>41570</t>
  </si>
  <si>
    <t>Essex Village Manor, LLC</t>
  </si>
  <si>
    <t>41569</t>
  </si>
  <si>
    <t>Evangelical Baptist Home</t>
  </si>
  <si>
    <t>41649</t>
  </si>
  <si>
    <t>Fernwood Manor, Inc.</t>
  </si>
  <si>
    <t>41699</t>
  </si>
  <si>
    <t>Fernwood Rest Home, Inc.</t>
  </si>
  <si>
    <t>41722</t>
  </si>
  <si>
    <t>Fernwood West</t>
  </si>
  <si>
    <t>41800</t>
  </si>
  <si>
    <t>Fitchville Residential Care Home,LLC</t>
  </si>
  <si>
    <t>41683</t>
  </si>
  <si>
    <t>Forest Hills Guest Home</t>
  </si>
  <si>
    <t>41635</t>
  </si>
  <si>
    <t>Four Corners Rest Home, Inc.</t>
  </si>
  <si>
    <t>31289</t>
  </si>
  <si>
    <t>Frances Warde Towers</t>
  </si>
  <si>
    <t>41853</t>
  </si>
  <si>
    <t>Freelove Manor, LLC</t>
  </si>
  <si>
    <t>41831</t>
  </si>
  <si>
    <t>Garden Brook Residential Care LLC</t>
  </si>
  <si>
    <t>41777</t>
  </si>
  <si>
    <t>Gilmore Manor, Inc.</t>
  </si>
  <si>
    <t>Green Grove</t>
  </si>
  <si>
    <t>41702</t>
  </si>
  <si>
    <t>Greenlodge of Manchester, Inc.</t>
  </si>
  <si>
    <t>41275</t>
  </si>
  <si>
    <t>Greystone Rest Home, Inc.</t>
  </si>
  <si>
    <t>31473</t>
  </si>
  <si>
    <t>Hannah Gray Residential Care Home</t>
  </si>
  <si>
    <t>41798</t>
  </si>
  <si>
    <t>Haughton Cove Manor, Inc.</t>
  </si>
  <si>
    <t>41784</t>
  </si>
  <si>
    <t>High Chase LLC</t>
  </si>
  <si>
    <t>41770</t>
  </si>
  <si>
    <t>Highvue Manor</t>
  </si>
  <si>
    <t>41843</t>
  </si>
  <si>
    <t>Holiday Manor, Inc.</t>
  </si>
  <si>
    <t>41755</t>
  </si>
  <si>
    <t>Holly View Manor, Inc.</t>
  </si>
  <si>
    <t>41427</t>
  </si>
  <si>
    <t>Jerome Home, The</t>
  </si>
  <si>
    <t>31392</t>
  </si>
  <si>
    <t>Johnson Home, The</t>
  </si>
  <si>
    <t>44414</t>
  </si>
  <si>
    <t>Julie House</t>
  </si>
  <si>
    <t>000023213</t>
  </si>
  <si>
    <t>Leeway</t>
  </si>
  <si>
    <t>41767</t>
  </si>
  <si>
    <t>Lillie Mae's Place LLC RCH</t>
  </si>
  <si>
    <t>31360</t>
  </si>
  <si>
    <t>Lutheran Home of Southbury, Inc.</t>
  </si>
  <si>
    <t>41692</t>
  </si>
  <si>
    <t>Marbridge Rest Home</t>
  </si>
  <si>
    <t>41665</t>
  </si>
  <si>
    <t>Mary Wade Home, Inc., The</t>
  </si>
  <si>
    <t>31274</t>
  </si>
  <si>
    <t>Masonicare Health Center</t>
  </si>
  <si>
    <t>41413</t>
  </si>
  <si>
    <t>Massack Memorial Home</t>
  </si>
  <si>
    <t>41712</t>
  </si>
  <si>
    <t>McLean Health Center</t>
  </si>
  <si>
    <t>41566</t>
  </si>
  <si>
    <t>Morning Star Res. Care Home LLC</t>
  </si>
  <si>
    <t>Mystic River Residential Care</t>
  </si>
  <si>
    <t>41878</t>
  </si>
  <si>
    <t>Nelson Place</t>
  </si>
  <si>
    <t>41763</t>
  </si>
  <si>
    <t>Noble Horizons</t>
  </si>
  <si>
    <t>41720</t>
  </si>
  <si>
    <t>Park Hill Manor, Inc.</t>
  </si>
  <si>
    <t>41844</t>
  </si>
  <si>
    <t>Parsonage Cottage Senior Residence</t>
  </si>
  <si>
    <t>41797</t>
  </si>
  <si>
    <t>Pleasant View Manor, Inc.</t>
  </si>
  <si>
    <t>41700</t>
  </si>
  <si>
    <t>Premier Care of Woodbury, LLC</t>
  </si>
  <si>
    <t>41609</t>
  </si>
  <si>
    <t>Riverview Lodge, Inc.</t>
  </si>
  <si>
    <t>41783</t>
  </si>
  <si>
    <t>Riverview Rest Home</t>
  </si>
  <si>
    <t>45585</t>
  </si>
  <si>
    <t>Roseland LLC</t>
  </si>
  <si>
    <t>47386</t>
  </si>
  <si>
    <t>Sacred Heart Manor, Inc.</t>
  </si>
  <si>
    <t>41678</t>
  </si>
  <si>
    <t>Saint Joseph's Residence</t>
  </si>
  <si>
    <t>41738</t>
  </si>
  <si>
    <t>Scofield Manor</t>
  </si>
  <si>
    <t>41830</t>
  </si>
  <si>
    <t>Seabury Health Center</t>
  </si>
  <si>
    <t>41794</t>
  </si>
  <si>
    <t>Seacrest Retirement Center</t>
  </si>
  <si>
    <t>41898</t>
  </si>
  <si>
    <t>Sedgwick Cedars Residential Care Home</t>
  </si>
  <si>
    <t>41795</t>
  </si>
  <si>
    <t>Shailerville Manor, LLC</t>
  </si>
  <si>
    <t>41687</t>
  </si>
  <si>
    <t>Silver Manor Residential Care Home</t>
  </si>
  <si>
    <t>41690</t>
  </si>
  <si>
    <t>St. Joseph's Center</t>
  </si>
  <si>
    <t>31252</t>
  </si>
  <si>
    <t>St. Lucian's Residence, Inc.</t>
  </si>
  <si>
    <t>41832</t>
  </si>
  <si>
    <t>Stewart Rest Home</t>
  </si>
  <si>
    <t>41789</t>
  </si>
  <si>
    <t>The Manor on Pine Street</t>
  </si>
  <si>
    <t>Tidelawn Manor Rest Home</t>
  </si>
  <si>
    <t>41786</t>
  </si>
  <si>
    <t>Tracy Manor, Inc</t>
  </si>
  <si>
    <t>41268</t>
  </si>
  <si>
    <t>United Community and Family Svcs.</t>
  </si>
  <si>
    <t>41836</t>
  </si>
  <si>
    <t>University Place Residential Care, LLC</t>
  </si>
  <si>
    <t>31266</t>
  </si>
  <si>
    <t>Westcott - Wilcox Home</t>
  </si>
  <si>
    <t>41758</t>
  </si>
  <si>
    <t>Westside Manor</t>
  </si>
  <si>
    <t>41796</t>
  </si>
  <si>
    <t>Westway Manor, Inc.</t>
  </si>
  <si>
    <t>41664</t>
  </si>
  <si>
    <t>Worthington Manor</t>
  </si>
  <si>
    <t>21 Victoria Street, Hartford, CT 06114</t>
  </si>
  <si>
    <t>91 Chestnut Street, Manchester, CT 06040</t>
  </si>
  <si>
    <t>581 Pequot Avenue, New London, CT 06320</t>
  </si>
  <si>
    <t>13 Parklawn Drive, Bethel, CT 06801</t>
  </si>
  <si>
    <t>122 East Main St., Plainville, CT 06062</t>
  </si>
  <si>
    <t>320 Colony Street, Meriden, CT 06450</t>
  </si>
  <si>
    <t>179 Coleman Street, New London, CT 06320</t>
  </si>
  <si>
    <t>134 Franklin Street Ext., Danbury, CT 06811</t>
  </si>
  <si>
    <t>154 Pleasant Street, Willimantic, CT 06226</t>
  </si>
  <si>
    <t>37 Clark Avenue, East Haven, CT 06512</t>
  </si>
  <si>
    <t>157 Hillside Avenue, Waterbury, CT 06710</t>
  </si>
  <si>
    <t>63 Westbrook Road, Centerbrook, CT 06409</t>
  </si>
  <si>
    <t>Rockville, CT 06066</t>
  </si>
  <si>
    <t>1145 Poquonock Road, Groton, CT 06340</t>
  </si>
  <si>
    <t>1 Griswold Street, Meriden, CT 06450</t>
  </si>
  <si>
    <t>90 Broad Street, Norwich, CT 06360</t>
  </si>
  <si>
    <t>380 Crown Street, Meriden, CT 06450</t>
  </si>
  <si>
    <t>268 Middlesex Avenue, Chester, CT 06412</t>
  </si>
  <si>
    <t>43 Preston Avenue, Meriden, CT 06450</t>
  </si>
  <si>
    <t>140 Cook Hill Rd, Cheshire, CT 06410</t>
  </si>
  <si>
    <t>99 Washington Street, Norwich, CT 06360</t>
  </si>
  <si>
    <t>37 Elm Street, Rockville, CT 06066</t>
  </si>
  <si>
    <t>59 South Main Street, Essex, CT 06426</t>
  </si>
  <si>
    <t>574 Ashford Center Road, Ashford, CT 06278</t>
  </si>
  <si>
    <t>27-29 Girard Avenue, Hartford, CT 06105</t>
  </si>
  <si>
    <t>400 Torrington Road, Litchfield, CT 06759</t>
  </si>
  <si>
    <t>521 Prospect Avenue, West Hartford, CT 06105</t>
  </si>
  <si>
    <t>187 Fitchville Rd., Bozrah, CT 06334</t>
  </si>
  <si>
    <t>462 Derby Avenue, West Haven, CT 06516</t>
  </si>
  <si>
    <t>306 Naugatuck Avenue, Milford, CT 06460</t>
  </si>
  <si>
    <t>2021 Albany Avenue, West Hartford, CT 06117</t>
  </si>
  <si>
    <t>246 Quinn Street, Naugatuck, CT 06770</t>
  </si>
  <si>
    <t>470 Straits Turnpike, Watertown, CT 06795</t>
  </si>
  <si>
    <t>1381 Main Street, South Glastonbury, CT 06073</t>
  </si>
  <si>
    <t>612 East Middle Turnpike, Manchester, CT 06040</t>
  </si>
  <si>
    <t>44 High Street, Portland, CT 06480</t>
  </si>
  <si>
    <t>235 Dixwell Avenue, New Haven, CT 06350</t>
  </si>
  <si>
    <t>841 Norwich-New London Tpke., Uncasville, CT 06382</t>
  </si>
  <si>
    <t>140 River Rd., Willington, CT 06279</t>
  </si>
  <si>
    <t>2730 State Street, Hamden, CT 06514</t>
  </si>
  <si>
    <t>29 Cottage Street, Manchester, CT 06040</t>
  </si>
  <si>
    <t>38 Prospect Place, Bristol, CT 06010</t>
  </si>
  <si>
    <t>975 Corbin Avenue, New Britain, CT 06052</t>
  </si>
  <si>
    <t>100 Town Street, Norwich, CT 06360</t>
  </si>
  <si>
    <t>425 Poquonock Ave, Windsor, CT 06095</t>
  </si>
  <si>
    <t>40 Albert Street, New Haven, CT 06511</t>
  </si>
  <si>
    <t>57 Main Street, East Haven, CT 06512</t>
  </si>
  <si>
    <t>990 Main Street North, Southbury, CT 06488</t>
  </si>
  <si>
    <t>665 West Main Street, Cheshire, CT 06410-0068</t>
  </si>
  <si>
    <t>118 Clinton Avenue, New Haven, CT 06513</t>
  </si>
  <si>
    <t>22 Masonic Avenue, Wallingford, CT 06492</t>
  </si>
  <si>
    <t>30 Davis Avenue, Rockville, CT 06066</t>
  </si>
  <si>
    <t>75 Great Pond Road, Simsbury, CT 06070</t>
  </si>
  <si>
    <t>38 Elizabeth Street, Kent, CT 06757</t>
  </si>
  <si>
    <t>17 Nelson Avenue, Norwalk, CT 06851</t>
  </si>
  <si>
    <t>17 Cobble Road, Salisbury, CT 06068</t>
  </si>
  <si>
    <t>105 Vine Street, New Britain, CT 06052</t>
  </si>
  <si>
    <t>88 Parsonage Rd., Greenwich, CT 06830</t>
  </si>
  <si>
    <t>225 Bunker Hill Road, Watertown, CT 06795</t>
  </si>
  <si>
    <t>280 Middle Road Turnpike, Woodbury, CT 06798</t>
  </si>
  <si>
    <t>10 Prospect Street, Deep River, CT 06417</t>
  </si>
  <si>
    <t>92-94 Lexington Avenue, New Haven, CT 06513</t>
  </si>
  <si>
    <t>39 Canterbury Road, Brooklyn, CT 06234</t>
  </si>
  <si>
    <t>261 Benham Street, Hamden, CT 06514</t>
  </si>
  <si>
    <t>1365 Enfield Street, Enfield, CT 06082</t>
  </si>
  <si>
    <t>614 Scofieldtown Road, Stamford, CT 06903</t>
  </si>
  <si>
    <t>200 Seabury Drive, Bloomfield, CT 06002</t>
  </si>
  <si>
    <t>588 Ocean Avenue, West Haven, CT 06516</t>
  </si>
  <si>
    <t>27 Park Road, West Hartford, CT 06119</t>
  </si>
  <si>
    <t>1179 Saybrook Rd., Haddam, CT 06438</t>
  </si>
  <si>
    <t>128 Curtis Street, Meriden, CT 06450</t>
  </si>
  <si>
    <t>6448 Main Street, Trumbull, CT 06611</t>
  </si>
  <si>
    <t>532 North Burritt Street, New Britain, CT 06053</t>
  </si>
  <si>
    <t>93 High Street, East Haven, CT 06512</t>
  </si>
  <si>
    <t>53 Pine Street, Waterbury, CT 06710</t>
  </si>
  <si>
    <t>22 Fenway Street, West Hartford, CT 06119</t>
  </si>
  <si>
    <t>165 McKinley Avenue, Norwich, CT 06360</t>
  </si>
  <si>
    <t>5 University Place, New Haven, CT 06511</t>
  </si>
  <si>
    <t>50 Capron Street, Danielson, CT 06239</t>
  </si>
  <si>
    <t>9 West High Street, East Hampton, CT 06424</t>
  </si>
  <si>
    <t>38 Girard Avenue, Hartford, CT 06105</t>
  </si>
  <si>
    <t>316 Berlin St., East Berlin, CT 06023</t>
  </si>
  <si>
    <t>Issued Rate Start Date</t>
  </si>
  <si>
    <t>New Horizons Village</t>
  </si>
  <si>
    <t>Calculated Rate + Add-ons</t>
  </si>
  <si>
    <t>Residential Care Homes</t>
  </si>
  <si>
    <t>Data Based on 9/30/2019 Annual Reports</t>
  </si>
  <si>
    <t>Data as of March 1, 2022</t>
  </si>
  <si>
    <t>Annualized State SSI Days (Cost Year 2019)</t>
  </si>
  <si>
    <t>Issued Rate Less Calculated Rate w/ Add-ons</t>
  </si>
  <si>
    <t>Newfield Rest Home</t>
  </si>
  <si>
    <t>N/A</t>
  </si>
  <si>
    <r>
      <t>Calculated Rate Based on Cost Year 2019</t>
    </r>
    <r>
      <rPr>
        <sz val="11"/>
        <rFont val="Calibri"/>
        <family val="2"/>
      </rPr>
      <t xml:space="preserve"> (10/1/2018-9/30/2019)</t>
    </r>
  </si>
  <si>
    <t>Rates Under Cost</t>
  </si>
  <si>
    <t>Funding Support</t>
  </si>
  <si>
    <t>All RCH Rate Increase</t>
  </si>
  <si>
    <t>Rate Increase</t>
  </si>
  <si>
    <t>Change Maple Leaf Manor</t>
  </si>
  <si>
    <t>Elton</t>
  </si>
  <si>
    <t>Park City</t>
  </si>
  <si>
    <t>Sunny Lodge</t>
  </si>
  <si>
    <t>Target for RCH's with rates below cost</t>
  </si>
  <si>
    <t>Difference</t>
  </si>
  <si>
    <t>Fiscal Impact</t>
  </si>
  <si>
    <t>** Removed from Demonstartion: Closed / Under Interim Status / Not licensed RCH</t>
  </si>
  <si>
    <t>Increase</t>
  </si>
  <si>
    <t>Final Rate Effective 7/1/22</t>
  </si>
  <si>
    <t>Additional Increase for RCH with Rates Under Cost</t>
  </si>
  <si>
    <t>Issued Rate (8/1/2021-6/30/2022)</t>
  </si>
  <si>
    <t>Diff. from Calculated Rate</t>
  </si>
  <si>
    <t>To All RCH's</t>
  </si>
  <si>
    <t>Stop gain</t>
  </si>
  <si>
    <t>ALL RCH'S: 3% Increase to Issued Rate</t>
  </si>
  <si>
    <t>Stop gain 7%: Distribution on Rates Still Below Costs</t>
  </si>
  <si>
    <t>below cost</t>
  </si>
  <si>
    <t>RCH with rates below cost (Stop Gain)</t>
  </si>
  <si>
    <t>3% increase all RCH</t>
  </si>
  <si>
    <t>Total Funding</t>
  </si>
  <si>
    <t>Q1 Payment</t>
  </si>
  <si>
    <t>Q2 Payment</t>
  </si>
  <si>
    <t>Q3 Payment</t>
  </si>
  <si>
    <t>Q4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</si>
</sst>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_(&quot;$&quot;* #,##0_);_(&quot;$&quot;* \(#,##0\);_(&quot;$&quot;* &quot;-&quot;??_);_(@_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164" fontId="0" fillId="0" borderId="2" xfId="0" applyNumberFormat="1" applyBorder="1"/>
    <xf numFmtId="38" fontId="0" fillId="0" borderId="2" xfId="0" applyNumberFormat="1" applyBorder="1"/>
    <xf numFmtId="8" fontId="0" fillId="0" borderId="2" xfId="0" applyNumberFormat="1" applyBorder="1"/>
    <xf numFmtId="14" fontId="0" fillId="0" borderId="2" xfId="0" applyNumberFormat="1" applyBorder="1"/>
    <xf numFmtId="0" fontId="0" fillId="0" borderId="4" xfId="0" applyBorder="1"/>
    <xf numFmtId="14" fontId="0" fillId="0" borderId="0" xfId="0" applyNumberFormat="1" applyBorder="1"/>
    <xf numFmtId="8" fontId="0" fillId="0" borderId="7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38" fontId="0" fillId="0" borderId="7" xfId="0" applyNumberFormat="1" applyBorder="1"/>
    <xf numFmtId="14" fontId="0" fillId="0" borderId="7" xfId="0" applyNumberFormat="1" applyBorder="1"/>
    <xf numFmtId="0" fontId="4" fillId="2" borderId="2" xfId="1" applyFont="1" applyBorder="1" applyAlignment="1">
      <alignment wrapText="1"/>
    </xf>
    <xf numFmtId="0" fontId="4" fillId="2" borderId="2" xfId="1" applyFont="1" applyBorder="1" applyAlignment="1">
      <alignment horizontal="center" wrapText="1"/>
    </xf>
    <xf numFmtId="8" fontId="0" fillId="3" borderId="7" xfId="0" applyNumberFormat="1" applyFill="1" applyBorder="1"/>
    <xf numFmtId="8" fontId="0" fillId="0" borderId="0" xfId="0" applyNumberFormat="1"/>
    <xf numFmtId="8" fontId="0" fillId="3" borderId="9" xfId="0" applyNumberFormat="1" applyFill="1" applyBorder="1"/>
    <xf numFmtId="165" fontId="2" fillId="0" borderId="0" xfId="0" applyNumberFormat="1" applyFont="1"/>
    <xf numFmtId="8" fontId="0" fillId="3" borderId="11" xfId="0" applyNumberFormat="1" applyFill="1" applyBorder="1"/>
    <xf numFmtId="8" fontId="0" fillId="3" borderId="0" xfId="0" applyNumberFormat="1" applyFill="1"/>
    <xf numFmtId="44" fontId="0" fillId="3" borderId="0" xfId="2" applyFont="1" applyFill="1" applyBorder="1"/>
    <xf numFmtId="164" fontId="0" fillId="0" borderId="0" xfId="0" applyNumberFormat="1"/>
    <xf numFmtId="38" fontId="0" fillId="0" borderId="0" xfId="0" applyNumberFormat="1"/>
    <xf numFmtId="14" fontId="0" fillId="0" borderId="0" xfId="0" applyNumberFormat="1"/>
    <xf numFmtId="6" fontId="2" fillId="0" borderId="0" xfId="0" applyNumberFormat="1" applyFont="1"/>
    <xf numFmtId="165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8" fontId="0" fillId="3" borderId="0" xfId="0" applyNumberFormat="1" applyFill="1" applyBorder="1"/>
    <xf numFmtId="165" fontId="0" fillId="4" borderId="1" xfId="0" applyNumberFormat="1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165" fontId="0" fillId="0" borderId="4" xfId="0" applyNumberFormat="1" applyFont="1" applyBorder="1"/>
    <xf numFmtId="0" fontId="0" fillId="0" borderId="0" xfId="0" applyFont="1" applyBorder="1"/>
    <xf numFmtId="0" fontId="0" fillId="0" borderId="5" xfId="0" applyFont="1" applyBorder="1"/>
    <xf numFmtId="165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2" fillId="0" borderId="0" xfId="0" applyFont="1" applyFill="1" applyBorder="1" applyAlignment="1"/>
    <xf numFmtId="6" fontId="6" fillId="0" borderId="0" xfId="0" applyNumberFormat="1" applyFont="1" applyFill="1" applyBorder="1" applyAlignment="1"/>
    <xf numFmtId="0" fontId="4" fillId="2" borderId="12" xfId="1" applyFont="1" applyBorder="1" applyAlignment="1">
      <alignment horizontal="center" wrapText="1"/>
    </xf>
    <xf numFmtId="44" fontId="5" fillId="3" borderId="0" xfId="2" applyFont="1" applyFill="1" applyBorder="1"/>
    <xf numFmtId="44" fontId="5" fillId="3" borderId="7" xfId="2" applyFont="1" applyFill="1" applyBorder="1"/>
    <xf numFmtId="10" fontId="0" fillId="0" borderId="0" xfId="3" applyNumberFormat="1" applyFont="1"/>
    <xf numFmtId="166" fontId="0" fillId="0" borderId="0" xfId="0" applyNumberFormat="1"/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0" applyFont="1"/>
    <xf numFmtId="0" fontId="6" fillId="0" borderId="0" xfId="0" applyFont="1" applyFill="1" applyBorder="1"/>
    <xf numFmtId="8" fontId="6" fillId="0" borderId="0" xfId="3" applyNumberFormat="1" applyFont="1"/>
    <xf numFmtId="8" fontId="6" fillId="0" borderId="0" xfId="0" applyNumberFormat="1" applyFont="1"/>
    <xf numFmtId="8" fontId="2" fillId="0" borderId="0" xfId="0" applyNumberFormat="1" applyFont="1" applyFill="1" applyBorder="1" applyAlignment="1">
      <alignment horizontal="center"/>
    </xf>
    <xf numFmtId="165" fontId="0" fillId="4" borderId="2" xfId="0" applyNumberFormat="1" applyFont="1" applyFill="1" applyBorder="1"/>
    <xf numFmtId="165" fontId="0" fillId="0" borderId="0" xfId="0" applyNumberFormat="1" applyFont="1" applyBorder="1"/>
    <xf numFmtId="165" fontId="0" fillId="0" borderId="7" xfId="0" applyNumberFormat="1" applyFont="1" applyBorder="1"/>
    <xf numFmtId="7" fontId="0" fillId="3" borderId="0" xfId="0" applyNumberFormat="1" applyFill="1"/>
    <xf numFmtId="0" fontId="0" fillId="0" borderId="0" xfId="0" applyAlignment="1">
      <alignment horizontal="right"/>
    </xf>
    <xf numFmtId="10" fontId="0" fillId="0" borderId="0" xfId="0" applyNumberFormat="1"/>
    <xf numFmtId="10" fontId="0" fillId="5" borderId="0" xfId="0" applyNumberFormat="1" applyFill="1"/>
    <xf numFmtId="165" fontId="6" fillId="5" borderId="0" xfId="0" applyNumberFormat="1" applyFont="1" applyFill="1" applyBorder="1" applyAlignment="1"/>
    <xf numFmtId="44" fontId="0" fillId="5" borderId="0" xfId="2" applyNumberFormat="1" applyFont="1" applyFill="1" applyBorder="1"/>
    <xf numFmtId="166" fontId="0" fillId="5" borderId="0" xfId="0" applyNumberFormat="1" applyFill="1"/>
    <xf numFmtId="6" fontId="0" fillId="5" borderId="10" xfId="0" applyNumberFormat="1" applyFill="1" applyBorder="1"/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13" xfId="0" applyFont="1" applyFill="1" applyBorder="1" applyAlignment="1">
      <alignment horizontal="center"/>
    </xf>
    <xf numFmtId="0" fontId="4" fillId="2" borderId="0" xfId="1" applyFont="1" applyBorder="1" applyAlignment="1">
      <alignment horizontal="center" wrapText="1"/>
    </xf>
    <xf numFmtId="44" fontId="0" fillId="0" borderId="0" xfId="2" applyFont="1"/>
  </cellXfs>
  <cellStyles count="4">
    <cellStyle name="Currency" xfId="2" builtinId="4"/>
    <cellStyle name="Header" xfId="1" xr:uid="{00000000-0005-0000-0000-000000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83FE-A689-499C-9F9B-192F1895BCE9}">
  <dimension ref="A1:AF105"/>
  <sheetViews>
    <sheetView tabSelected="1" zoomScaleNormal="100" workbookViewId="0">
      <pane xSplit="2" ySplit="7" topLeftCell="U87" activePane="bottomRight" state="frozen"/>
      <selection pane="topRight" activeCell="C1" sqref="C1"/>
      <selection pane="bottomLeft" activeCell="A6" sqref="A6"/>
      <selection pane="bottomRight" activeCell="AF94" sqref="AF94"/>
    </sheetView>
  </sheetViews>
  <sheetFormatPr defaultRowHeight="14.5" x14ac:dyDescent="0.35"/>
  <cols>
    <col min="1" max="1" width="11.81640625" customWidth="1"/>
    <col min="2" max="2" width="23.453125" customWidth="1"/>
    <col min="3" max="3" width="48.81640625" hidden="1" customWidth="1"/>
    <col min="4" max="5" width="10.7265625" hidden="1" customWidth="1"/>
    <col min="6" max="6" width="8.453125" hidden="1" customWidth="1"/>
    <col min="7" max="7" width="15.26953125" hidden="1" customWidth="1"/>
    <col min="8" max="8" width="15.26953125" bestFit="1" customWidth="1"/>
    <col min="9" max="9" width="11.1796875" hidden="1" customWidth="1"/>
    <col min="10" max="10" width="11.1796875" bestFit="1" customWidth="1"/>
    <col min="11" max="12" width="13.54296875" hidden="1" customWidth="1"/>
    <col min="13" max="13" width="8.7265625" hidden="1" customWidth="1"/>
    <col min="14" max="14" width="12.453125" hidden="1" customWidth="1"/>
    <col min="15" max="15" width="8.7265625" hidden="1" customWidth="1"/>
    <col min="16" max="16" width="11.1796875" bestFit="1" customWidth="1"/>
    <col min="17" max="17" width="12.54296875" bestFit="1" customWidth="1"/>
    <col min="18" max="18" width="13.54296875" bestFit="1" customWidth="1"/>
    <col min="19" max="19" width="8.453125" bestFit="1" customWidth="1"/>
    <col min="20" max="20" width="12.26953125" customWidth="1"/>
    <col min="21" max="21" width="12.26953125" bestFit="1" customWidth="1"/>
    <col min="22" max="22" width="11.54296875" customWidth="1"/>
    <col min="23" max="23" width="12.54296875" hidden="1" customWidth="1"/>
    <col min="24" max="24" width="19" customWidth="1"/>
    <col min="25" max="25" width="11.7265625" bestFit="1" customWidth="1"/>
    <col min="26" max="26" width="12.81640625" customWidth="1"/>
    <col min="27" max="27" width="0.1796875" style="54" customWidth="1"/>
    <col min="28" max="28" width="13.6328125" bestFit="1" customWidth="1"/>
    <col min="29" max="32" width="11.08984375" bestFit="1" customWidth="1"/>
  </cols>
  <sheetData>
    <row r="1" spans="1:32" ht="15" thickBot="1" x14ac:dyDescent="0.4">
      <c r="A1" s="34" t="s">
        <v>263</v>
      </c>
      <c r="V1" s="50">
        <v>1</v>
      </c>
      <c r="W1" s="50"/>
      <c r="X1" t="s">
        <v>279</v>
      </c>
    </row>
    <row r="2" spans="1:32" x14ac:dyDescent="0.35">
      <c r="A2" s="34" t="s">
        <v>264</v>
      </c>
      <c r="J2" t="s">
        <v>288</v>
      </c>
      <c r="P2" s="63" t="s">
        <v>289</v>
      </c>
      <c r="V2" s="36">
        <v>3700000</v>
      </c>
      <c r="W2" s="59"/>
      <c r="X2" s="37" t="s">
        <v>272</v>
      </c>
      <c r="Y2" s="38"/>
      <c r="Z2" s="30"/>
      <c r="AC2" s="63"/>
    </row>
    <row r="3" spans="1:32" x14ac:dyDescent="0.35">
      <c r="A3" s="34" t="s">
        <v>265</v>
      </c>
      <c r="J3" s="65">
        <v>2.965034649E-2</v>
      </c>
      <c r="P3" s="64">
        <v>7.0000000000000007E-2</v>
      </c>
      <c r="Q3" s="20"/>
      <c r="V3" s="39">
        <f>U91</f>
        <v>2110309.94</v>
      </c>
      <c r="W3" s="60"/>
      <c r="X3" s="40" t="s">
        <v>294</v>
      </c>
      <c r="Y3" s="41"/>
      <c r="AC3" s="64"/>
    </row>
    <row r="4" spans="1:32" ht="15" thickBot="1" x14ac:dyDescent="0.4">
      <c r="A4" s="2"/>
      <c r="J4" s="20"/>
      <c r="Q4" s="20"/>
      <c r="V4" s="42">
        <f>X91</f>
        <v>1589690.0600000003</v>
      </c>
      <c r="W4" s="61"/>
      <c r="X4" s="43" t="s">
        <v>293</v>
      </c>
      <c r="Y4" s="44"/>
    </row>
    <row r="5" spans="1:32" s="31" customFormat="1" ht="15" thickBot="1" x14ac:dyDescent="0.4">
      <c r="H5" s="32"/>
      <c r="J5" s="58"/>
      <c r="K5" s="32"/>
      <c r="L5" s="32"/>
      <c r="M5" s="32"/>
      <c r="N5" s="32"/>
      <c r="O5" s="32"/>
      <c r="P5" s="32"/>
      <c r="Q5" s="32"/>
      <c r="R5" s="45"/>
      <c r="S5" s="45"/>
      <c r="T5" s="45"/>
      <c r="U5" s="46"/>
      <c r="V5" s="66">
        <f>+V2-V3-V4</f>
        <v>0</v>
      </c>
      <c r="W5" s="52"/>
      <c r="X5" s="53" t="s">
        <v>280</v>
      </c>
      <c r="Y5" s="45"/>
      <c r="Z5" s="45"/>
      <c r="AA5" s="55"/>
    </row>
    <row r="6" spans="1:32" s="31" customFormat="1" ht="15" thickBot="1" x14ac:dyDescent="0.4">
      <c r="H6" s="32"/>
      <c r="J6" s="32"/>
      <c r="K6" s="32"/>
      <c r="L6" s="32"/>
      <c r="M6" s="32"/>
      <c r="N6" s="32"/>
      <c r="O6" s="32"/>
      <c r="P6" s="32"/>
      <c r="Q6" s="32"/>
      <c r="R6" s="70" t="s">
        <v>273</v>
      </c>
      <c r="S6" s="70"/>
      <c r="T6" s="70"/>
      <c r="U6" s="70"/>
      <c r="V6" s="72" t="s">
        <v>285</v>
      </c>
      <c r="W6" s="70"/>
      <c r="X6" s="70"/>
      <c r="Y6" s="70"/>
      <c r="Z6" s="70"/>
      <c r="AA6" s="55"/>
    </row>
    <row r="7" spans="1:32" ht="73" thickBot="1" x14ac:dyDescent="0.4">
      <c r="A7" s="17" t="s">
        <v>10</v>
      </c>
      <c r="B7" s="17" t="s">
        <v>0</v>
      </c>
      <c r="C7" s="17" t="s">
        <v>1</v>
      </c>
      <c r="D7" s="17" t="s">
        <v>8</v>
      </c>
      <c r="E7" s="17" t="s">
        <v>9</v>
      </c>
      <c r="F7" s="17" t="s">
        <v>2</v>
      </c>
      <c r="G7" s="17" t="s">
        <v>3</v>
      </c>
      <c r="H7" s="17" t="s">
        <v>266</v>
      </c>
      <c r="I7" s="17" t="s">
        <v>260</v>
      </c>
      <c r="J7" s="17" t="s">
        <v>286</v>
      </c>
      <c r="K7" s="18" t="s">
        <v>270</v>
      </c>
      <c r="L7" s="18" t="s">
        <v>5</v>
      </c>
      <c r="M7" s="18" t="s">
        <v>7</v>
      </c>
      <c r="N7" s="18" t="s">
        <v>4</v>
      </c>
      <c r="O7" s="18" t="s">
        <v>6</v>
      </c>
      <c r="P7" s="18" t="s">
        <v>262</v>
      </c>
      <c r="Q7" s="18" t="s">
        <v>267</v>
      </c>
      <c r="R7" s="47" t="s">
        <v>290</v>
      </c>
      <c r="S7" s="47" t="s">
        <v>274</v>
      </c>
      <c r="T7" s="47" t="s">
        <v>287</v>
      </c>
      <c r="U7" s="47" t="s">
        <v>281</v>
      </c>
      <c r="V7" s="47" t="s">
        <v>271</v>
      </c>
      <c r="W7" s="47"/>
      <c r="X7" s="47" t="s">
        <v>291</v>
      </c>
      <c r="Y7" s="47" t="s">
        <v>283</v>
      </c>
      <c r="Z7" s="47" t="s">
        <v>284</v>
      </c>
      <c r="AB7" s="73" t="s">
        <v>295</v>
      </c>
      <c r="AC7" s="73" t="s">
        <v>296</v>
      </c>
      <c r="AD7" s="73" t="s">
        <v>297</v>
      </c>
      <c r="AE7" s="73" t="s">
        <v>298</v>
      </c>
      <c r="AF7" s="73" t="s">
        <v>299</v>
      </c>
    </row>
    <row r="8" spans="1:32" x14ac:dyDescent="0.35">
      <c r="A8" s="11" t="s">
        <v>11</v>
      </c>
      <c r="B8" s="3" t="s">
        <v>12</v>
      </c>
      <c r="C8" s="3" t="s">
        <v>178</v>
      </c>
      <c r="D8" s="4">
        <v>43374</v>
      </c>
      <c r="E8" s="4">
        <v>43738</v>
      </c>
      <c r="F8" s="5">
        <v>30</v>
      </c>
      <c r="G8" s="5">
        <v>9760</v>
      </c>
      <c r="H8" s="5">
        <f t="shared" ref="H8:H65" si="0">ROUND(((E8-D8+1)/365)*G8,0)</f>
        <v>9760</v>
      </c>
      <c r="I8" s="7">
        <v>44409</v>
      </c>
      <c r="J8" s="6">
        <v>107.77</v>
      </c>
      <c r="K8" s="6">
        <v>105.36142843</v>
      </c>
      <c r="L8" s="6">
        <f>ROUND(K8*0.004,2)</f>
        <v>0.42</v>
      </c>
      <c r="M8" s="6">
        <f>ROUND((K8+L8)*0.0317,2)</f>
        <v>3.35</v>
      </c>
      <c r="N8" s="6">
        <v>0.37</v>
      </c>
      <c r="O8" s="6">
        <f>ROUND(SUM(K8:N8)*0.0047,2)</f>
        <v>0.51</v>
      </c>
      <c r="P8" s="6">
        <f t="shared" ref="P8:P37" si="1">SUM(K8:O8)</f>
        <v>110.01142843000001</v>
      </c>
      <c r="Q8" s="6">
        <f>J8-P8</f>
        <v>-2.2414284300000133</v>
      </c>
      <c r="R8" s="21">
        <f>J8*($J$3+1)</f>
        <v>110.96541784122729</v>
      </c>
      <c r="S8" s="35">
        <f t="shared" ref="S8:S39" si="2">R8-J8</f>
        <v>3.1954178412272967</v>
      </c>
      <c r="T8" s="35">
        <f>R8-P8</f>
        <v>0.95398941122728331</v>
      </c>
      <c r="U8" s="69">
        <f>ROUND(S8*H8,2)</f>
        <v>31187.279999999999</v>
      </c>
      <c r="V8" s="24">
        <f>IF(T8&lt;0,T8*$V$1,0)</f>
        <v>0</v>
      </c>
      <c r="W8" s="62">
        <f>IF(-V8/R8&lt;$P$3,V8,R8*$P$3*H8)</f>
        <v>0</v>
      </c>
      <c r="X8" s="68">
        <f>ROUND(W8,2)</f>
        <v>0</v>
      </c>
      <c r="Y8" s="25">
        <f t="shared" ref="Y8:Y39" si="3">X8/H8</f>
        <v>0</v>
      </c>
      <c r="Z8" s="67">
        <f>ROUND(+Y8+R8,2)</f>
        <v>110.97</v>
      </c>
      <c r="AA8" s="56">
        <f t="shared" ref="AA8:AA39" si="4">Z8-P8</f>
        <v>0.95857156999998949</v>
      </c>
      <c r="AB8" s="74">
        <f t="shared" ref="AB8:AB71" si="5">+X8+U8</f>
        <v>31187.279999999999</v>
      </c>
      <c r="AC8" s="74">
        <f>ROUND(+AB8/4,2)</f>
        <v>7796.82</v>
      </c>
      <c r="AD8" s="74">
        <f>+AC8</f>
        <v>7796.82</v>
      </c>
      <c r="AE8" s="74">
        <f>+AD8</f>
        <v>7796.82</v>
      </c>
      <c r="AF8" s="74">
        <f>AB8-SUM(AC8:AE8)</f>
        <v>7796.82</v>
      </c>
    </row>
    <row r="9" spans="1:32" x14ac:dyDescent="0.35">
      <c r="A9" s="8" t="s">
        <v>13</v>
      </c>
      <c r="B9" t="s">
        <v>14</v>
      </c>
      <c r="C9" t="s">
        <v>179</v>
      </c>
      <c r="D9" s="26">
        <v>43374</v>
      </c>
      <c r="E9" s="26">
        <v>43738</v>
      </c>
      <c r="F9" s="27">
        <v>34</v>
      </c>
      <c r="G9" s="27">
        <v>11861</v>
      </c>
      <c r="H9" s="27">
        <f t="shared" si="0"/>
        <v>11861</v>
      </c>
      <c r="I9" s="28">
        <v>44409</v>
      </c>
      <c r="J9" s="20">
        <v>73.739999999999995</v>
      </c>
      <c r="K9" s="20">
        <v>65.437324369999999</v>
      </c>
      <c r="L9" s="20">
        <f>ROUND(K9*0.004,2)</f>
        <v>0.26</v>
      </c>
      <c r="M9" s="20">
        <f>ROUND((K9+L9)*0.0317,2)</f>
        <v>2.08</v>
      </c>
      <c r="N9" s="20">
        <v>0</v>
      </c>
      <c r="O9" s="20">
        <f>ROUND(SUM(K9:N9)*0.0047,2)</f>
        <v>0.32</v>
      </c>
      <c r="P9" s="20">
        <f t="shared" si="1"/>
        <v>68.097324369999995</v>
      </c>
      <c r="Q9" s="20">
        <f t="shared" ref="Q9:Q41" si="6">J9-P9</f>
        <v>5.6426756299999994</v>
      </c>
      <c r="R9" s="21">
        <f t="shared" ref="R9:R72" si="7">J9*($J$3+1)</f>
        <v>75.92641655017259</v>
      </c>
      <c r="S9" s="24">
        <f t="shared" si="2"/>
        <v>2.186416550172595</v>
      </c>
      <c r="T9" s="35">
        <f t="shared" ref="T9:T72" si="8">R9-P9</f>
        <v>7.8290921801725943</v>
      </c>
      <c r="U9" s="69">
        <f t="shared" ref="U9:U72" si="9">ROUND(S9*H9,2)</f>
        <v>25933.09</v>
      </c>
      <c r="V9" s="24">
        <f t="shared" ref="V9:V72" si="10">IF(T9&lt;0,T9*$V$1,0)</f>
        <v>0</v>
      </c>
      <c r="W9" s="62">
        <f t="shared" ref="W9:W72" si="11">IF(-V9/R9&lt;$P$3,H9*-V9,R9*$P$3*H9)</f>
        <v>0</v>
      </c>
      <c r="X9" s="68">
        <f t="shared" ref="X9:X72" si="12">ROUND(W9,2)</f>
        <v>0</v>
      </c>
      <c r="Y9" s="25">
        <f t="shared" si="3"/>
        <v>0</v>
      </c>
      <c r="Z9" s="67">
        <f t="shared" ref="Z9:Z72" si="13">ROUND(+Y9+R9,2)</f>
        <v>75.930000000000007</v>
      </c>
      <c r="AA9" s="56">
        <f t="shared" si="4"/>
        <v>7.8326756300000113</v>
      </c>
      <c r="AB9" s="74">
        <f t="shared" si="5"/>
        <v>25933.09</v>
      </c>
      <c r="AC9" s="74">
        <f>ROUND(+AB9/4,2)</f>
        <v>6483.27</v>
      </c>
      <c r="AD9" s="74">
        <f>+AC9</f>
        <v>6483.27</v>
      </c>
      <c r="AE9" s="74">
        <f>+AD9</f>
        <v>6483.27</v>
      </c>
      <c r="AF9" s="74">
        <f>AB9-SUM(AC9:AE9)</f>
        <v>6483.2799999999988</v>
      </c>
    </row>
    <row r="10" spans="1:32" x14ac:dyDescent="0.35">
      <c r="A10" s="8" t="s">
        <v>15</v>
      </c>
      <c r="B10" t="s">
        <v>16</v>
      </c>
      <c r="C10" t="s">
        <v>180</v>
      </c>
      <c r="D10" s="26">
        <v>43374</v>
      </c>
      <c r="E10" s="26">
        <v>43738</v>
      </c>
      <c r="F10" s="27">
        <v>14</v>
      </c>
      <c r="G10" s="27">
        <v>2421</v>
      </c>
      <c r="H10" s="27">
        <f t="shared" si="0"/>
        <v>2421</v>
      </c>
      <c r="I10" s="28">
        <v>44409</v>
      </c>
      <c r="J10" s="20">
        <v>139.54</v>
      </c>
      <c r="K10" s="20">
        <v>132.51753869000001</v>
      </c>
      <c r="L10" s="20">
        <f>ROUND(K10*0.004,2)</f>
        <v>0.53</v>
      </c>
      <c r="M10" s="20">
        <f>ROUND((K10+L10)*0.0317,2)</f>
        <v>4.22</v>
      </c>
      <c r="N10" s="20">
        <v>0</v>
      </c>
      <c r="O10" s="20">
        <f>ROUND(SUM(K10:N10)*0.0047,2)</f>
        <v>0.65</v>
      </c>
      <c r="P10" s="20">
        <f t="shared" si="1"/>
        <v>137.91753869000001</v>
      </c>
      <c r="Q10" s="20">
        <f t="shared" si="6"/>
        <v>1.6224613099999772</v>
      </c>
      <c r="R10" s="21">
        <f t="shared" si="7"/>
        <v>143.6774093492146</v>
      </c>
      <c r="S10" s="24">
        <f t="shared" si="2"/>
        <v>4.1374093492146073</v>
      </c>
      <c r="T10" s="35">
        <f t="shared" si="8"/>
        <v>5.7598706592145845</v>
      </c>
      <c r="U10" s="69">
        <f t="shared" si="9"/>
        <v>10016.67</v>
      </c>
      <c r="V10" s="24">
        <f t="shared" si="10"/>
        <v>0</v>
      </c>
      <c r="W10" s="62">
        <f t="shared" si="11"/>
        <v>0</v>
      </c>
      <c r="X10" s="68">
        <f t="shared" si="12"/>
        <v>0</v>
      </c>
      <c r="Y10" s="25">
        <f t="shared" si="3"/>
        <v>0</v>
      </c>
      <c r="Z10" s="67">
        <f t="shared" si="13"/>
        <v>143.68</v>
      </c>
      <c r="AA10" s="56">
        <f t="shared" si="4"/>
        <v>5.762461309999992</v>
      </c>
      <c r="AB10" s="74">
        <f t="shared" si="5"/>
        <v>10016.67</v>
      </c>
      <c r="AC10" s="74">
        <f t="shared" ref="AC10:AC73" si="14">ROUND(+AB10/4,2)</f>
        <v>2504.17</v>
      </c>
      <c r="AD10" s="74">
        <f t="shared" ref="AD10:AE10" si="15">+AC10</f>
        <v>2504.17</v>
      </c>
      <c r="AE10" s="74">
        <f t="shared" si="15"/>
        <v>2504.17</v>
      </c>
      <c r="AF10" s="74">
        <f t="shared" ref="AF10:AF73" si="16">AB10-SUM(AC10:AE10)</f>
        <v>2504.16</v>
      </c>
    </row>
    <row r="11" spans="1:32" x14ac:dyDescent="0.35">
      <c r="A11" s="8" t="s">
        <v>17</v>
      </c>
      <c r="B11" t="s">
        <v>18</v>
      </c>
      <c r="C11" t="s">
        <v>181</v>
      </c>
      <c r="D11" s="26">
        <v>43374</v>
      </c>
      <c r="E11" s="26">
        <v>43738</v>
      </c>
      <c r="F11" s="27">
        <v>14</v>
      </c>
      <c r="G11" s="27">
        <v>3673</v>
      </c>
      <c r="H11" s="27">
        <f t="shared" si="0"/>
        <v>3673</v>
      </c>
      <c r="I11" s="28">
        <v>44409</v>
      </c>
      <c r="J11" s="20">
        <v>150.15</v>
      </c>
      <c r="K11" s="20">
        <v>141.35906879000001</v>
      </c>
      <c r="L11" s="20">
        <f>ROUND(K11*0.004,2)</f>
        <v>0.56999999999999995</v>
      </c>
      <c r="M11" s="20">
        <f>ROUND((K11+L11)*0.0317,2)</f>
        <v>4.5</v>
      </c>
      <c r="N11" s="20">
        <v>0</v>
      </c>
      <c r="O11" s="20">
        <f>ROUND(SUM(K11:N11)*0.0047,2)</f>
        <v>0.69</v>
      </c>
      <c r="P11" s="20">
        <f t="shared" si="1"/>
        <v>147.11906879</v>
      </c>
      <c r="Q11" s="20">
        <f t="shared" si="6"/>
        <v>3.0309312100000056</v>
      </c>
      <c r="R11" s="21">
        <f t="shared" si="7"/>
        <v>154.6019995254735</v>
      </c>
      <c r="S11" s="24">
        <f t="shared" si="2"/>
        <v>4.4519995254734965</v>
      </c>
      <c r="T11" s="35">
        <f t="shared" si="8"/>
        <v>7.4829307354735022</v>
      </c>
      <c r="U11" s="69">
        <f t="shared" si="9"/>
        <v>16352.19</v>
      </c>
      <c r="V11" s="24">
        <f t="shared" si="10"/>
        <v>0</v>
      </c>
      <c r="W11" s="62">
        <f t="shared" si="11"/>
        <v>0</v>
      </c>
      <c r="X11" s="68">
        <f t="shared" si="12"/>
        <v>0</v>
      </c>
      <c r="Y11" s="25">
        <f t="shared" si="3"/>
        <v>0</v>
      </c>
      <c r="Z11" s="67">
        <f t="shared" si="13"/>
        <v>154.6</v>
      </c>
      <c r="AA11" s="56">
        <f t="shared" si="4"/>
        <v>7.4809312099999943</v>
      </c>
      <c r="AB11" s="74">
        <f t="shared" si="5"/>
        <v>16352.19</v>
      </c>
      <c r="AC11" s="74">
        <f t="shared" si="14"/>
        <v>4088.05</v>
      </c>
      <c r="AD11" s="74">
        <f t="shared" ref="AD11:AE11" si="17">+AC11</f>
        <v>4088.05</v>
      </c>
      <c r="AE11" s="74">
        <f t="shared" si="17"/>
        <v>4088.05</v>
      </c>
      <c r="AF11" s="74">
        <f t="shared" si="16"/>
        <v>4088.0399999999991</v>
      </c>
    </row>
    <row r="12" spans="1:32" x14ac:dyDescent="0.35">
      <c r="A12" s="8" t="s">
        <v>19</v>
      </c>
      <c r="B12" t="s">
        <v>20</v>
      </c>
      <c r="C12" t="s">
        <v>182</v>
      </c>
      <c r="D12" s="26">
        <v>43374</v>
      </c>
      <c r="E12" s="26">
        <v>43738</v>
      </c>
      <c r="F12" s="27">
        <v>24</v>
      </c>
      <c r="G12" s="27">
        <v>7143</v>
      </c>
      <c r="H12" s="27">
        <f t="shared" si="0"/>
        <v>7143</v>
      </c>
      <c r="I12" s="28">
        <v>44566</v>
      </c>
      <c r="J12" s="20">
        <v>98</v>
      </c>
      <c r="K12" s="20">
        <v>98</v>
      </c>
      <c r="L12" s="20" t="s">
        <v>269</v>
      </c>
      <c r="M12" s="20" t="s">
        <v>269</v>
      </c>
      <c r="N12" s="20" t="s">
        <v>269</v>
      </c>
      <c r="O12" s="20" t="s">
        <v>269</v>
      </c>
      <c r="P12" s="20">
        <f t="shared" si="1"/>
        <v>98</v>
      </c>
      <c r="Q12" s="20">
        <f t="shared" si="6"/>
        <v>0</v>
      </c>
      <c r="R12" s="21">
        <f t="shared" si="7"/>
        <v>100.90573395602</v>
      </c>
      <c r="S12" s="24">
        <f t="shared" si="2"/>
        <v>2.9057339560200006</v>
      </c>
      <c r="T12" s="35">
        <f t="shared" si="8"/>
        <v>2.9057339560200006</v>
      </c>
      <c r="U12" s="69">
        <f t="shared" si="9"/>
        <v>20755.66</v>
      </c>
      <c r="V12" s="24">
        <f t="shared" si="10"/>
        <v>0</v>
      </c>
      <c r="W12" s="62">
        <f t="shared" si="11"/>
        <v>0</v>
      </c>
      <c r="X12" s="68">
        <f t="shared" si="12"/>
        <v>0</v>
      </c>
      <c r="Y12" s="25">
        <f t="shared" si="3"/>
        <v>0</v>
      </c>
      <c r="Z12" s="67">
        <f t="shared" si="13"/>
        <v>100.91</v>
      </c>
      <c r="AA12" s="56">
        <f t="shared" si="4"/>
        <v>2.9099999999999966</v>
      </c>
      <c r="AB12" s="74">
        <f t="shared" si="5"/>
        <v>20755.66</v>
      </c>
      <c r="AC12" s="74">
        <f t="shared" si="14"/>
        <v>5188.92</v>
      </c>
      <c r="AD12" s="74">
        <f t="shared" ref="AD12:AE12" si="18">+AC12</f>
        <v>5188.92</v>
      </c>
      <c r="AE12" s="74">
        <f t="shared" si="18"/>
        <v>5188.92</v>
      </c>
      <c r="AF12" s="74">
        <f t="shared" si="16"/>
        <v>5188.8999999999996</v>
      </c>
    </row>
    <row r="13" spans="1:32" x14ac:dyDescent="0.35">
      <c r="A13" s="8" t="s">
        <v>21</v>
      </c>
      <c r="B13" t="s">
        <v>22</v>
      </c>
      <c r="C13" t="s">
        <v>183</v>
      </c>
      <c r="D13" s="26">
        <v>43374</v>
      </c>
      <c r="E13" s="26">
        <v>43738</v>
      </c>
      <c r="F13" s="27">
        <v>74</v>
      </c>
      <c r="G13" s="27">
        <v>11785</v>
      </c>
      <c r="H13" s="27">
        <f t="shared" si="0"/>
        <v>11785</v>
      </c>
      <c r="I13" s="28">
        <v>44409</v>
      </c>
      <c r="J13" s="20">
        <v>125.88</v>
      </c>
      <c r="K13" s="20">
        <v>123.54839615</v>
      </c>
      <c r="L13" s="20">
        <f t="shared" ref="L13:L18" si="19">ROUND(K13*0.004,2)</f>
        <v>0.49</v>
      </c>
      <c r="M13" s="20">
        <f t="shared" ref="M13:M18" si="20">ROUND((K13+L13)*0.0317,2)</f>
        <v>3.93</v>
      </c>
      <c r="N13" s="20">
        <v>0</v>
      </c>
      <c r="O13" s="20">
        <f t="shared" ref="O13:O18" si="21">ROUND(SUM(K13:N13)*0.0047,2)</f>
        <v>0.6</v>
      </c>
      <c r="P13" s="20">
        <f t="shared" si="1"/>
        <v>128.56839615000001</v>
      </c>
      <c r="Q13" s="20">
        <f t="shared" si="6"/>
        <v>-2.6883961500000169</v>
      </c>
      <c r="R13" s="21">
        <f t="shared" si="7"/>
        <v>129.61238561616119</v>
      </c>
      <c r="S13" s="24">
        <f t="shared" si="2"/>
        <v>3.7323856161611957</v>
      </c>
      <c r="T13" s="35">
        <f t="shared" si="8"/>
        <v>1.0439894661611788</v>
      </c>
      <c r="U13" s="69">
        <f t="shared" si="9"/>
        <v>43986.16</v>
      </c>
      <c r="V13" s="24">
        <f t="shared" si="10"/>
        <v>0</v>
      </c>
      <c r="W13" s="62">
        <f t="shared" si="11"/>
        <v>0</v>
      </c>
      <c r="X13" s="68">
        <f t="shared" si="12"/>
        <v>0</v>
      </c>
      <c r="Y13" s="25">
        <f t="shared" si="3"/>
        <v>0</v>
      </c>
      <c r="Z13" s="67">
        <f t="shared" si="13"/>
        <v>129.61000000000001</v>
      </c>
      <c r="AA13" s="56">
        <f t="shared" si="4"/>
        <v>1.0416038500000013</v>
      </c>
      <c r="AB13" s="74">
        <f t="shared" si="5"/>
        <v>43986.16</v>
      </c>
      <c r="AC13" s="74">
        <f t="shared" si="14"/>
        <v>10996.54</v>
      </c>
      <c r="AD13" s="74">
        <f t="shared" ref="AD13:AE13" si="22">+AC13</f>
        <v>10996.54</v>
      </c>
      <c r="AE13" s="74">
        <f t="shared" si="22"/>
        <v>10996.54</v>
      </c>
      <c r="AF13" s="74">
        <f t="shared" si="16"/>
        <v>10996.54</v>
      </c>
    </row>
    <row r="14" spans="1:32" x14ac:dyDescent="0.35">
      <c r="A14" s="8" t="s">
        <v>23</v>
      </c>
      <c r="B14" t="s">
        <v>24</v>
      </c>
      <c r="C14" t="s">
        <v>184</v>
      </c>
      <c r="D14" s="26">
        <v>43374</v>
      </c>
      <c r="E14" s="26">
        <v>43738</v>
      </c>
      <c r="F14" s="27">
        <v>25</v>
      </c>
      <c r="G14" s="27">
        <v>8732</v>
      </c>
      <c r="H14" s="27">
        <f t="shared" si="0"/>
        <v>8732</v>
      </c>
      <c r="I14" s="28">
        <v>44409</v>
      </c>
      <c r="J14" s="20">
        <v>83.48</v>
      </c>
      <c r="K14" s="20">
        <v>73.585247640000006</v>
      </c>
      <c r="L14" s="20">
        <f t="shared" si="19"/>
        <v>0.28999999999999998</v>
      </c>
      <c r="M14" s="20">
        <f t="shared" si="20"/>
        <v>2.34</v>
      </c>
      <c r="N14" s="20">
        <v>1.26</v>
      </c>
      <c r="O14" s="20">
        <f t="shared" si="21"/>
        <v>0.36</v>
      </c>
      <c r="P14" s="20">
        <f t="shared" si="1"/>
        <v>77.83524764000002</v>
      </c>
      <c r="Q14" s="20">
        <f t="shared" si="6"/>
        <v>5.644752359999984</v>
      </c>
      <c r="R14" s="21">
        <f t="shared" si="7"/>
        <v>85.955210924985209</v>
      </c>
      <c r="S14" s="24">
        <f t="shared" si="2"/>
        <v>2.4752109249852055</v>
      </c>
      <c r="T14" s="35">
        <f t="shared" si="8"/>
        <v>8.1199632849851895</v>
      </c>
      <c r="U14" s="69">
        <f t="shared" si="9"/>
        <v>21613.54</v>
      </c>
      <c r="V14" s="24">
        <f t="shared" si="10"/>
        <v>0</v>
      </c>
      <c r="W14" s="62">
        <f t="shared" si="11"/>
        <v>0</v>
      </c>
      <c r="X14" s="68">
        <f t="shared" si="12"/>
        <v>0</v>
      </c>
      <c r="Y14" s="25">
        <f t="shared" si="3"/>
        <v>0</v>
      </c>
      <c r="Z14" s="67">
        <f t="shared" si="13"/>
        <v>85.96</v>
      </c>
      <c r="AA14" s="56">
        <f t="shared" si="4"/>
        <v>8.1247523599999738</v>
      </c>
      <c r="AB14" s="74">
        <f t="shared" si="5"/>
        <v>21613.54</v>
      </c>
      <c r="AC14" s="74">
        <f t="shared" si="14"/>
        <v>5403.39</v>
      </c>
      <c r="AD14" s="74">
        <f t="shared" ref="AD14:AE14" si="23">+AC14</f>
        <v>5403.39</v>
      </c>
      <c r="AE14" s="74">
        <f t="shared" si="23"/>
        <v>5403.39</v>
      </c>
      <c r="AF14" s="74">
        <f t="shared" si="16"/>
        <v>5403.369999999999</v>
      </c>
    </row>
    <row r="15" spans="1:32" x14ac:dyDescent="0.35">
      <c r="A15" s="8" t="s">
        <v>25</v>
      </c>
      <c r="B15" t="s">
        <v>26</v>
      </c>
      <c r="C15" t="s">
        <v>185</v>
      </c>
      <c r="D15" s="26">
        <v>43374</v>
      </c>
      <c r="E15" s="26">
        <v>43738</v>
      </c>
      <c r="F15" s="27">
        <v>20</v>
      </c>
      <c r="G15" s="27">
        <v>6971</v>
      </c>
      <c r="H15" s="27">
        <f t="shared" si="0"/>
        <v>6971</v>
      </c>
      <c r="I15" s="28">
        <v>44409</v>
      </c>
      <c r="J15" s="20">
        <v>77.349999999999994</v>
      </c>
      <c r="K15" s="20">
        <v>97.982125210000007</v>
      </c>
      <c r="L15" s="20">
        <f t="shared" si="19"/>
        <v>0.39</v>
      </c>
      <c r="M15" s="20">
        <f t="shared" si="20"/>
        <v>3.12</v>
      </c>
      <c r="N15" s="20">
        <v>0</v>
      </c>
      <c r="O15" s="20">
        <f t="shared" si="21"/>
        <v>0.48</v>
      </c>
      <c r="P15" s="20">
        <f t="shared" si="1"/>
        <v>101.97212521000002</v>
      </c>
      <c r="Q15" s="20">
        <f t="shared" si="6"/>
        <v>-24.622125210000021</v>
      </c>
      <c r="R15" s="21">
        <f t="shared" si="7"/>
        <v>79.643454301001498</v>
      </c>
      <c r="S15" s="24">
        <f t="shared" si="2"/>
        <v>2.2934543010015034</v>
      </c>
      <c r="T15" s="35">
        <f>R15-P15</f>
        <v>-22.328670908998518</v>
      </c>
      <c r="U15" s="69">
        <f t="shared" si="9"/>
        <v>15987.67</v>
      </c>
      <c r="V15" s="24">
        <f t="shared" si="10"/>
        <v>-22.328670908998518</v>
      </c>
      <c r="W15" s="62">
        <f t="shared" si="11"/>
        <v>38863.616395259705</v>
      </c>
      <c r="X15" s="68">
        <f t="shared" si="12"/>
        <v>38863.620000000003</v>
      </c>
      <c r="Y15" s="25">
        <f t="shared" si="3"/>
        <v>5.5750423181752984</v>
      </c>
      <c r="Z15" s="67">
        <f t="shared" si="13"/>
        <v>85.22</v>
      </c>
      <c r="AA15" s="56">
        <f t="shared" si="4"/>
        <v>-16.752125210000017</v>
      </c>
      <c r="AB15" s="74">
        <f t="shared" si="5"/>
        <v>54851.29</v>
      </c>
      <c r="AC15" s="74">
        <f t="shared" si="14"/>
        <v>13712.82</v>
      </c>
      <c r="AD15" s="74">
        <f t="shared" ref="AD15:AE15" si="24">+AC15</f>
        <v>13712.82</v>
      </c>
      <c r="AE15" s="74">
        <f t="shared" si="24"/>
        <v>13712.82</v>
      </c>
      <c r="AF15" s="74">
        <f t="shared" si="16"/>
        <v>13712.830000000002</v>
      </c>
    </row>
    <row r="16" spans="1:32" x14ac:dyDescent="0.35">
      <c r="A16" s="8" t="s">
        <v>27</v>
      </c>
      <c r="B16" t="s">
        <v>28</v>
      </c>
      <c r="C16" t="s">
        <v>186</v>
      </c>
      <c r="D16" s="26">
        <v>43374</v>
      </c>
      <c r="E16" s="26">
        <v>43738</v>
      </c>
      <c r="F16" s="27">
        <v>20</v>
      </c>
      <c r="G16" s="27">
        <v>3278</v>
      </c>
      <c r="H16" s="27">
        <f t="shared" si="0"/>
        <v>3278</v>
      </c>
      <c r="I16" s="28">
        <v>44409</v>
      </c>
      <c r="J16" s="20">
        <v>74.680000000000007</v>
      </c>
      <c r="K16" s="20">
        <v>76.915369490000003</v>
      </c>
      <c r="L16" s="20">
        <f t="shared" si="19"/>
        <v>0.31</v>
      </c>
      <c r="M16" s="20">
        <f t="shared" si="20"/>
        <v>2.4500000000000002</v>
      </c>
      <c r="N16" s="20">
        <v>0.21</v>
      </c>
      <c r="O16" s="20">
        <f t="shared" si="21"/>
        <v>0.38</v>
      </c>
      <c r="P16" s="20">
        <f t="shared" si="1"/>
        <v>80.265369489999998</v>
      </c>
      <c r="Q16" s="20">
        <f t="shared" si="6"/>
        <v>-5.5853694899999908</v>
      </c>
      <c r="R16" s="21">
        <f t="shared" si="7"/>
        <v>76.894287875873204</v>
      </c>
      <c r="S16" s="24">
        <f t="shared" si="2"/>
        <v>2.2142878758731968</v>
      </c>
      <c r="T16" s="35">
        <f t="shared" si="8"/>
        <v>-3.3710816141267941</v>
      </c>
      <c r="U16" s="69">
        <f t="shared" si="9"/>
        <v>7258.44</v>
      </c>
      <c r="V16" s="24">
        <f t="shared" si="10"/>
        <v>-3.3710816141267941</v>
      </c>
      <c r="W16" s="62">
        <f t="shared" si="11"/>
        <v>11050.405531107632</v>
      </c>
      <c r="X16" s="68">
        <f t="shared" si="12"/>
        <v>11050.41</v>
      </c>
      <c r="Y16" s="48">
        <f t="shared" si="3"/>
        <v>3.3710829774252593</v>
      </c>
      <c r="Z16" s="67">
        <f t="shared" si="13"/>
        <v>80.27</v>
      </c>
      <c r="AA16" s="56">
        <f t="shared" si="4"/>
        <v>4.6305099999983668E-3</v>
      </c>
      <c r="AB16" s="74">
        <f t="shared" si="5"/>
        <v>18308.849999999999</v>
      </c>
      <c r="AC16" s="74">
        <f t="shared" si="14"/>
        <v>4577.21</v>
      </c>
      <c r="AD16" s="74">
        <f t="shared" ref="AD16:AE16" si="25">+AC16</f>
        <v>4577.21</v>
      </c>
      <c r="AE16" s="74">
        <f t="shared" si="25"/>
        <v>4577.21</v>
      </c>
      <c r="AF16" s="74">
        <f t="shared" si="16"/>
        <v>4577.2199999999975</v>
      </c>
    </row>
    <row r="17" spans="1:32" x14ac:dyDescent="0.35">
      <c r="A17" s="8" t="s">
        <v>29</v>
      </c>
      <c r="B17" t="s">
        <v>30</v>
      </c>
      <c r="C17" t="s">
        <v>187</v>
      </c>
      <c r="D17" s="26">
        <v>43374</v>
      </c>
      <c r="E17" s="26">
        <v>43738</v>
      </c>
      <c r="F17" s="27">
        <v>16</v>
      </c>
      <c r="G17" s="27">
        <v>5363</v>
      </c>
      <c r="H17" s="27">
        <f t="shared" si="0"/>
        <v>5363</v>
      </c>
      <c r="I17" s="28">
        <v>44409</v>
      </c>
      <c r="J17" s="20">
        <v>81.849999999999994</v>
      </c>
      <c r="K17" s="20">
        <v>92.118429770000006</v>
      </c>
      <c r="L17" s="20">
        <f t="shared" si="19"/>
        <v>0.37</v>
      </c>
      <c r="M17" s="20">
        <f t="shared" si="20"/>
        <v>2.93</v>
      </c>
      <c r="N17" s="20">
        <v>0</v>
      </c>
      <c r="O17" s="20">
        <f t="shared" si="21"/>
        <v>0.45</v>
      </c>
      <c r="P17" s="20">
        <f t="shared" si="1"/>
        <v>95.86842977000002</v>
      </c>
      <c r="Q17" s="20">
        <f t="shared" si="6"/>
        <v>-14.018429770000026</v>
      </c>
      <c r="R17" s="21">
        <f t="shared" si="7"/>
        <v>84.276880860206489</v>
      </c>
      <c r="S17" s="24">
        <f t="shared" si="2"/>
        <v>2.4268808602064951</v>
      </c>
      <c r="T17" s="35">
        <f t="shared" si="8"/>
        <v>-11.591548909793531</v>
      </c>
      <c r="U17" s="69">
        <f t="shared" si="9"/>
        <v>13015.36</v>
      </c>
      <c r="V17" s="24">
        <f t="shared" si="10"/>
        <v>-11.591548909793531</v>
      </c>
      <c r="W17" s="62">
        <f t="shared" si="11"/>
        <v>31638.38384373012</v>
      </c>
      <c r="X17" s="68">
        <f t="shared" si="12"/>
        <v>31638.38</v>
      </c>
      <c r="Y17" s="25">
        <f t="shared" si="3"/>
        <v>5.8993809435017717</v>
      </c>
      <c r="Z17" s="67">
        <f t="shared" si="13"/>
        <v>90.18</v>
      </c>
      <c r="AA17" s="56">
        <f t="shared" si="4"/>
        <v>-5.6884297700000133</v>
      </c>
      <c r="AB17" s="74">
        <f t="shared" si="5"/>
        <v>44653.740000000005</v>
      </c>
      <c r="AC17" s="74">
        <f t="shared" si="14"/>
        <v>11163.44</v>
      </c>
      <c r="AD17" s="74">
        <f t="shared" ref="AD17:AE17" si="26">+AC17</f>
        <v>11163.44</v>
      </c>
      <c r="AE17" s="74">
        <f t="shared" si="26"/>
        <v>11163.44</v>
      </c>
      <c r="AF17" s="74">
        <f t="shared" si="16"/>
        <v>11163.420000000006</v>
      </c>
    </row>
    <row r="18" spans="1:32" x14ac:dyDescent="0.35">
      <c r="A18" s="8" t="s">
        <v>31</v>
      </c>
      <c r="B18" t="s">
        <v>32</v>
      </c>
      <c r="C18" t="s">
        <v>188</v>
      </c>
      <c r="D18" s="26">
        <v>43374</v>
      </c>
      <c r="E18" s="26">
        <v>43738</v>
      </c>
      <c r="F18" s="27">
        <v>25</v>
      </c>
      <c r="G18" s="27">
        <v>8617</v>
      </c>
      <c r="H18" s="27">
        <f t="shared" si="0"/>
        <v>8617</v>
      </c>
      <c r="I18" s="28">
        <v>44409</v>
      </c>
      <c r="J18" s="20">
        <v>119.77</v>
      </c>
      <c r="K18" s="20">
        <v>98.946598359999996</v>
      </c>
      <c r="L18" s="20">
        <f t="shared" si="19"/>
        <v>0.4</v>
      </c>
      <c r="M18" s="20">
        <f t="shared" si="20"/>
        <v>3.15</v>
      </c>
      <c r="N18" s="20">
        <v>0.27</v>
      </c>
      <c r="O18" s="20">
        <f t="shared" si="21"/>
        <v>0.48</v>
      </c>
      <c r="P18" s="20">
        <f t="shared" si="1"/>
        <v>103.24659836000001</v>
      </c>
      <c r="Q18" s="20">
        <f t="shared" si="6"/>
        <v>16.523401639999989</v>
      </c>
      <c r="R18" s="21">
        <f t="shared" si="7"/>
        <v>123.32122199910729</v>
      </c>
      <c r="S18" s="24">
        <f t="shared" si="2"/>
        <v>3.5512219991072982</v>
      </c>
      <c r="T18" s="35">
        <f t="shared" si="8"/>
        <v>20.074623639107287</v>
      </c>
      <c r="U18" s="69">
        <f t="shared" si="9"/>
        <v>30600.880000000001</v>
      </c>
      <c r="V18" s="24">
        <f>IF(T18&lt;0,T18*$V$1,0)</f>
        <v>0</v>
      </c>
      <c r="W18" s="62">
        <f t="shared" si="11"/>
        <v>0</v>
      </c>
      <c r="X18" s="68">
        <f t="shared" si="12"/>
        <v>0</v>
      </c>
      <c r="Y18" s="25">
        <f t="shared" si="3"/>
        <v>0</v>
      </c>
      <c r="Z18" s="67">
        <f t="shared" si="13"/>
        <v>123.32</v>
      </c>
      <c r="AA18" s="56">
        <f t="shared" si="4"/>
        <v>20.073401639999986</v>
      </c>
      <c r="AB18" s="74">
        <f t="shared" si="5"/>
        <v>30600.880000000001</v>
      </c>
      <c r="AC18" s="74">
        <f t="shared" si="14"/>
        <v>7650.22</v>
      </c>
      <c r="AD18" s="74">
        <f t="shared" ref="AD18:AE18" si="27">+AC18</f>
        <v>7650.22</v>
      </c>
      <c r="AE18" s="74">
        <f t="shared" si="27"/>
        <v>7650.22</v>
      </c>
      <c r="AF18" s="74">
        <f t="shared" si="16"/>
        <v>7650.2200000000012</v>
      </c>
    </row>
    <row r="19" spans="1:32" x14ac:dyDescent="0.35">
      <c r="A19" s="8" t="s">
        <v>33</v>
      </c>
      <c r="B19" t="s">
        <v>34</v>
      </c>
      <c r="C19" t="s">
        <v>189</v>
      </c>
      <c r="D19" s="26">
        <v>43374</v>
      </c>
      <c r="E19" s="26">
        <v>43738</v>
      </c>
      <c r="F19" s="27">
        <v>25</v>
      </c>
      <c r="G19" s="27">
        <v>8178</v>
      </c>
      <c r="H19" s="27">
        <f t="shared" si="0"/>
        <v>8178</v>
      </c>
      <c r="I19" s="28">
        <v>44409</v>
      </c>
      <c r="J19" s="20">
        <v>100.95</v>
      </c>
      <c r="K19" s="20">
        <v>100.95</v>
      </c>
      <c r="L19" s="20" t="s">
        <v>269</v>
      </c>
      <c r="M19" s="20" t="s">
        <v>269</v>
      </c>
      <c r="N19" s="20" t="s">
        <v>269</v>
      </c>
      <c r="O19" s="20" t="s">
        <v>269</v>
      </c>
      <c r="P19" s="20">
        <f t="shared" si="1"/>
        <v>100.95</v>
      </c>
      <c r="Q19" s="20">
        <f t="shared" si="6"/>
        <v>0</v>
      </c>
      <c r="R19" s="21">
        <f t="shared" si="7"/>
        <v>103.9432024781655</v>
      </c>
      <c r="S19" s="24">
        <f t="shared" si="2"/>
        <v>2.9932024781655002</v>
      </c>
      <c r="T19" s="35">
        <f t="shared" si="8"/>
        <v>2.9932024781655002</v>
      </c>
      <c r="U19" s="69">
        <f t="shared" si="9"/>
        <v>24478.41</v>
      </c>
      <c r="V19" s="24">
        <f t="shared" si="10"/>
        <v>0</v>
      </c>
      <c r="W19" s="62">
        <f t="shared" si="11"/>
        <v>0</v>
      </c>
      <c r="X19" s="68">
        <f t="shared" si="12"/>
        <v>0</v>
      </c>
      <c r="Y19" s="25">
        <f t="shared" si="3"/>
        <v>0</v>
      </c>
      <c r="Z19" s="67">
        <f t="shared" si="13"/>
        <v>103.94</v>
      </c>
      <c r="AA19" s="56">
        <f t="shared" si="4"/>
        <v>2.9899999999999949</v>
      </c>
      <c r="AB19" s="74">
        <f t="shared" si="5"/>
        <v>24478.41</v>
      </c>
      <c r="AC19" s="74">
        <f t="shared" si="14"/>
        <v>6119.6</v>
      </c>
      <c r="AD19" s="74">
        <f t="shared" ref="AD19:AE19" si="28">+AC19</f>
        <v>6119.6</v>
      </c>
      <c r="AE19" s="74">
        <f t="shared" si="28"/>
        <v>6119.6</v>
      </c>
      <c r="AF19" s="74">
        <f t="shared" si="16"/>
        <v>6119.6099999999969</v>
      </c>
    </row>
    <row r="20" spans="1:32" x14ac:dyDescent="0.35">
      <c r="A20" s="8" t="s">
        <v>35</v>
      </c>
      <c r="B20" t="s">
        <v>36</v>
      </c>
      <c r="C20" t="s">
        <v>190</v>
      </c>
      <c r="D20" s="26">
        <v>43374</v>
      </c>
      <c r="E20" s="26">
        <v>43738</v>
      </c>
      <c r="F20" s="27">
        <v>23</v>
      </c>
      <c r="G20" s="27">
        <v>8208</v>
      </c>
      <c r="H20" s="27">
        <f t="shared" si="0"/>
        <v>8208</v>
      </c>
      <c r="I20" s="28">
        <v>44409</v>
      </c>
      <c r="J20" s="20">
        <v>131.51</v>
      </c>
      <c r="K20" s="20">
        <v>133.21784002000001</v>
      </c>
      <c r="L20" s="20">
        <f>ROUND(K20*0.004,2)</f>
        <v>0.53</v>
      </c>
      <c r="M20" s="20">
        <f>ROUND((K20+L20)*0.0317,2)</f>
        <v>4.24</v>
      </c>
      <c r="N20" s="20">
        <v>0.15</v>
      </c>
      <c r="O20" s="20">
        <f>ROUND(SUM(K20:N20)*0.0047,2)</f>
        <v>0.65</v>
      </c>
      <c r="P20" s="20">
        <f t="shared" si="1"/>
        <v>138.78784002000003</v>
      </c>
      <c r="Q20" s="20">
        <f t="shared" si="6"/>
        <v>-7.2778400200000419</v>
      </c>
      <c r="R20" s="21">
        <f t="shared" si="7"/>
        <v>135.40931706689989</v>
      </c>
      <c r="S20" s="24">
        <f t="shared" si="2"/>
        <v>3.8993170668998971</v>
      </c>
      <c r="T20" s="35">
        <f t="shared" si="8"/>
        <v>-3.3785229531001448</v>
      </c>
      <c r="U20" s="69">
        <f t="shared" si="9"/>
        <v>32005.59</v>
      </c>
      <c r="V20" s="24">
        <f t="shared" si="10"/>
        <v>-3.3785229531001448</v>
      </c>
      <c r="W20" s="62">
        <f t="shared" si="11"/>
        <v>27730.916399045989</v>
      </c>
      <c r="X20" s="68">
        <f t="shared" si="12"/>
        <v>27730.92</v>
      </c>
      <c r="Y20" s="25">
        <f t="shared" si="3"/>
        <v>3.3785233918128652</v>
      </c>
      <c r="Z20" s="67">
        <f t="shared" si="13"/>
        <v>138.79</v>
      </c>
      <c r="AA20" s="56">
        <f t="shared" si="4"/>
        <v>2.1599799999592051E-3</v>
      </c>
      <c r="AB20" s="74">
        <f t="shared" si="5"/>
        <v>59736.509999999995</v>
      </c>
      <c r="AC20" s="74">
        <f t="shared" si="14"/>
        <v>14934.13</v>
      </c>
      <c r="AD20" s="74">
        <f t="shared" ref="AD20:AE20" si="29">+AC20</f>
        <v>14934.13</v>
      </c>
      <c r="AE20" s="74">
        <f t="shared" si="29"/>
        <v>14934.13</v>
      </c>
      <c r="AF20" s="74">
        <f t="shared" si="16"/>
        <v>14934.119999999995</v>
      </c>
    </row>
    <row r="21" spans="1:32" x14ac:dyDescent="0.35">
      <c r="A21" s="8" t="s">
        <v>37</v>
      </c>
      <c r="B21" t="s">
        <v>38</v>
      </c>
      <c r="C21" t="s">
        <v>191</v>
      </c>
      <c r="D21" s="26">
        <v>43374</v>
      </c>
      <c r="E21" s="26">
        <v>43738</v>
      </c>
      <c r="F21" s="27">
        <v>81</v>
      </c>
      <c r="G21" s="27">
        <v>20069</v>
      </c>
      <c r="H21" s="27">
        <f t="shared" si="0"/>
        <v>20069</v>
      </c>
      <c r="I21" s="28">
        <v>44440</v>
      </c>
      <c r="J21" s="20">
        <v>114.52</v>
      </c>
      <c r="K21" s="20">
        <v>114.52</v>
      </c>
      <c r="L21" s="20" t="s">
        <v>269</v>
      </c>
      <c r="M21" s="20" t="s">
        <v>269</v>
      </c>
      <c r="N21" s="20" t="s">
        <v>269</v>
      </c>
      <c r="O21" s="20" t="s">
        <v>269</v>
      </c>
      <c r="P21" s="20">
        <f t="shared" si="1"/>
        <v>114.52</v>
      </c>
      <c r="Q21" s="20">
        <f t="shared" si="6"/>
        <v>0</v>
      </c>
      <c r="R21" s="21">
        <f t="shared" si="7"/>
        <v>117.91555768003479</v>
      </c>
      <c r="S21" s="24">
        <f t="shared" si="2"/>
        <v>3.3955576800347984</v>
      </c>
      <c r="T21" s="35">
        <f t="shared" si="8"/>
        <v>3.3955576800347984</v>
      </c>
      <c r="U21" s="69">
        <f t="shared" si="9"/>
        <v>68145.45</v>
      </c>
      <c r="V21" s="24">
        <f t="shared" si="10"/>
        <v>0</v>
      </c>
      <c r="W21" s="62">
        <f t="shared" si="11"/>
        <v>0</v>
      </c>
      <c r="X21" s="68">
        <f t="shared" si="12"/>
        <v>0</v>
      </c>
      <c r="Y21" s="25">
        <f t="shared" si="3"/>
        <v>0</v>
      </c>
      <c r="Z21" s="67">
        <f t="shared" si="13"/>
        <v>117.92</v>
      </c>
      <c r="AA21" s="56">
        <f t="shared" si="4"/>
        <v>3.4000000000000057</v>
      </c>
      <c r="AB21" s="74">
        <f t="shared" si="5"/>
        <v>68145.45</v>
      </c>
      <c r="AC21" s="74">
        <f t="shared" si="14"/>
        <v>17036.36</v>
      </c>
      <c r="AD21" s="74">
        <f t="shared" ref="AD21:AE21" si="30">+AC21</f>
        <v>17036.36</v>
      </c>
      <c r="AE21" s="74">
        <f t="shared" si="30"/>
        <v>17036.36</v>
      </c>
      <c r="AF21" s="74">
        <f t="shared" si="16"/>
        <v>17036.369999999995</v>
      </c>
    </row>
    <row r="22" spans="1:32" x14ac:dyDescent="0.35">
      <c r="A22" s="8" t="s">
        <v>39</v>
      </c>
      <c r="B22" t="s">
        <v>40</v>
      </c>
      <c r="C22" t="s">
        <v>192</v>
      </c>
      <c r="D22" s="26">
        <v>43374</v>
      </c>
      <c r="E22" s="26">
        <v>43738</v>
      </c>
      <c r="F22" s="27">
        <v>35</v>
      </c>
      <c r="G22" s="27">
        <v>11641</v>
      </c>
      <c r="H22" s="27">
        <f t="shared" si="0"/>
        <v>11641</v>
      </c>
      <c r="I22" s="28">
        <v>44409</v>
      </c>
      <c r="J22" s="20">
        <v>68.37</v>
      </c>
      <c r="K22" s="20">
        <v>67.600600330000006</v>
      </c>
      <c r="L22" s="20">
        <f t="shared" ref="L22:L53" si="31">ROUND(K22*0.004,2)</f>
        <v>0.27</v>
      </c>
      <c r="M22" s="20">
        <f t="shared" ref="M22:M53" si="32">ROUND((K22+L22)*0.0317,2)</f>
        <v>2.15</v>
      </c>
      <c r="N22" s="20">
        <v>0.37</v>
      </c>
      <c r="O22" s="20">
        <f t="shared" ref="O22:O29" si="33">ROUND(SUM(K22:N22)*0.0047,2)</f>
        <v>0.33</v>
      </c>
      <c r="P22" s="20">
        <f t="shared" si="1"/>
        <v>70.720600330000011</v>
      </c>
      <c r="Q22" s="20">
        <f t="shared" si="6"/>
        <v>-2.350600330000006</v>
      </c>
      <c r="R22" s="21">
        <f t="shared" si="7"/>
        <v>70.397194189521301</v>
      </c>
      <c r="S22" s="24">
        <f t="shared" si="2"/>
        <v>2.0271941895212962</v>
      </c>
      <c r="T22" s="35">
        <f t="shared" si="8"/>
        <v>-0.32340614047870986</v>
      </c>
      <c r="U22" s="69">
        <f t="shared" si="9"/>
        <v>23598.57</v>
      </c>
      <c r="V22" s="24">
        <f t="shared" si="10"/>
        <v>-0.32340614047870986</v>
      </c>
      <c r="W22" s="62">
        <f t="shared" si="11"/>
        <v>3764.7708813126615</v>
      </c>
      <c r="X22" s="68">
        <f t="shared" si="12"/>
        <v>3764.77</v>
      </c>
      <c r="Y22" s="25">
        <f t="shared" si="3"/>
        <v>0.32340606477106776</v>
      </c>
      <c r="Z22" s="67">
        <f t="shared" si="13"/>
        <v>70.72</v>
      </c>
      <c r="AA22" s="56">
        <f t="shared" si="4"/>
        <v>-6.0033000001169512E-4</v>
      </c>
      <c r="AB22" s="74">
        <f t="shared" si="5"/>
        <v>27363.34</v>
      </c>
      <c r="AC22" s="74">
        <f t="shared" si="14"/>
        <v>6840.84</v>
      </c>
      <c r="AD22" s="74">
        <f t="shared" ref="AD22:AE22" si="34">+AC22</f>
        <v>6840.84</v>
      </c>
      <c r="AE22" s="74">
        <f t="shared" si="34"/>
        <v>6840.84</v>
      </c>
      <c r="AF22" s="74">
        <f t="shared" si="16"/>
        <v>6840.82</v>
      </c>
    </row>
    <row r="23" spans="1:32" x14ac:dyDescent="0.35">
      <c r="A23" s="8" t="s">
        <v>41</v>
      </c>
      <c r="B23" t="s">
        <v>42</v>
      </c>
      <c r="C23" t="s">
        <v>193</v>
      </c>
      <c r="D23" s="26">
        <v>43374</v>
      </c>
      <c r="E23" s="26">
        <v>43738</v>
      </c>
      <c r="F23" s="27">
        <v>22</v>
      </c>
      <c r="G23" s="27">
        <v>7564</v>
      </c>
      <c r="H23" s="27">
        <f t="shared" si="0"/>
        <v>7564</v>
      </c>
      <c r="I23" s="28">
        <v>44409</v>
      </c>
      <c r="J23" s="20">
        <v>86.65</v>
      </c>
      <c r="K23" s="20">
        <v>85.996392020000002</v>
      </c>
      <c r="L23" s="20">
        <f t="shared" si="31"/>
        <v>0.34</v>
      </c>
      <c r="M23" s="20">
        <f t="shared" si="32"/>
        <v>2.74</v>
      </c>
      <c r="N23" s="20">
        <v>0.51</v>
      </c>
      <c r="O23" s="20">
        <f t="shared" si="33"/>
        <v>0.42</v>
      </c>
      <c r="P23" s="20">
        <f t="shared" si="1"/>
        <v>90.006392020000007</v>
      </c>
      <c r="Q23" s="20">
        <f t="shared" si="6"/>
        <v>-3.3563920200000013</v>
      </c>
      <c r="R23" s="21">
        <f t="shared" si="7"/>
        <v>89.219202523358504</v>
      </c>
      <c r="S23" s="24">
        <f t="shared" si="2"/>
        <v>2.5692025233584985</v>
      </c>
      <c r="T23" s="35">
        <f t="shared" si="8"/>
        <v>-0.78718949664150273</v>
      </c>
      <c r="U23" s="69">
        <f t="shared" si="9"/>
        <v>19433.45</v>
      </c>
      <c r="V23" s="24">
        <f t="shared" si="10"/>
        <v>-0.78718949664150273</v>
      </c>
      <c r="W23" s="62">
        <f t="shared" si="11"/>
        <v>5954.301352596327</v>
      </c>
      <c r="X23" s="68">
        <f t="shared" si="12"/>
        <v>5954.3</v>
      </c>
      <c r="Y23" s="25">
        <f t="shared" si="3"/>
        <v>0.78718931782125867</v>
      </c>
      <c r="Z23" s="67">
        <f t="shared" si="13"/>
        <v>90.01</v>
      </c>
      <c r="AA23" s="56">
        <f t="shared" si="4"/>
        <v>3.6079799999981788E-3</v>
      </c>
      <c r="AB23" s="74">
        <f t="shared" si="5"/>
        <v>25387.75</v>
      </c>
      <c r="AC23" s="74">
        <f t="shared" si="14"/>
        <v>6346.94</v>
      </c>
      <c r="AD23" s="74">
        <f t="shared" ref="AD23:AE23" si="35">+AC23</f>
        <v>6346.94</v>
      </c>
      <c r="AE23" s="74">
        <f t="shared" si="35"/>
        <v>6346.94</v>
      </c>
      <c r="AF23" s="74">
        <f t="shared" si="16"/>
        <v>6346.93</v>
      </c>
    </row>
    <row r="24" spans="1:32" x14ac:dyDescent="0.35">
      <c r="A24" s="8" t="s">
        <v>43</v>
      </c>
      <c r="B24" t="s">
        <v>44</v>
      </c>
      <c r="C24" t="s">
        <v>194</v>
      </c>
      <c r="D24" s="26">
        <v>43374</v>
      </c>
      <c r="E24" s="26">
        <v>43738</v>
      </c>
      <c r="F24" s="27">
        <v>34</v>
      </c>
      <c r="G24" s="27">
        <v>10899</v>
      </c>
      <c r="H24" s="27">
        <f t="shared" si="0"/>
        <v>10899</v>
      </c>
      <c r="I24" s="28">
        <v>44409</v>
      </c>
      <c r="J24" s="20">
        <v>111.66</v>
      </c>
      <c r="K24" s="20">
        <v>103.82047480999999</v>
      </c>
      <c r="L24" s="20">
        <f t="shared" si="31"/>
        <v>0.42</v>
      </c>
      <c r="M24" s="20">
        <f t="shared" si="32"/>
        <v>3.3</v>
      </c>
      <c r="N24" s="20">
        <v>0.12</v>
      </c>
      <c r="O24" s="20">
        <f t="shared" si="33"/>
        <v>0.51</v>
      </c>
      <c r="P24" s="20">
        <f t="shared" si="1"/>
        <v>108.17047481</v>
      </c>
      <c r="Q24" s="20">
        <f t="shared" si="6"/>
        <v>3.4895251899999948</v>
      </c>
      <c r="R24" s="21">
        <f t="shared" si="7"/>
        <v>114.97075768907339</v>
      </c>
      <c r="S24" s="24">
        <f t="shared" si="2"/>
        <v>3.3107576890733981</v>
      </c>
      <c r="T24" s="35">
        <f t="shared" si="8"/>
        <v>6.8002828790733929</v>
      </c>
      <c r="U24" s="69">
        <f t="shared" si="9"/>
        <v>36083.949999999997</v>
      </c>
      <c r="V24" s="24">
        <f t="shared" si="10"/>
        <v>0</v>
      </c>
      <c r="W24" s="62">
        <f t="shared" si="11"/>
        <v>0</v>
      </c>
      <c r="X24" s="68">
        <f t="shared" si="12"/>
        <v>0</v>
      </c>
      <c r="Y24" s="25">
        <f t="shared" si="3"/>
        <v>0</v>
      </c>
      <c r="Z24" s="67">
        <f t="shared" si="13"/>
        <v>114.97</v>
      </c>
      <c r="AA24" s="56">
        <f t="shared" si="4"/>
        <v>6.7995251899999971</v>
      </c>
      <c r="AB24" s="74">
        <f t="shared" si="5"/>
        <v>36083.949999999997</v>
      </c>
      <c r="AC24" s="74">
        <f t="shared" si="14"/>
        <v>9020.99</v>
      </c>
      <c r="AD24" s="74">
        <f t="shared" ref="AD24:AE24" si="36">+AC24</f>
        <v>9020.99</v>
      </c>
      <c r="AE24" s="74">
        <f t="shared" si="36"/>
        <v>9020.99</v>
      </c>
      <c r="AF24" s="74">
        <f t="shared" si="16"/>
        <v>9020.9799999999959</v>
      </c>
    </row>
    <row r="25" spans="1:32" x14ac:dyDescent="0.35">
      <c r="A25" s="8" t="s">
        <v>45</v>
      </c>
      <c r="B25" t="s">
        <v>46</v>
      </c>
      <c r="C25" t="s">
        <v>195</v>
      </c>
      <c r="D25" s="26">
        <v>43374</v>
      </c>
      <c r="E25" s="26">
        <v>43738</v>
      </c>
      <c r="F25" s="27">
        <v>22</v>
      </c>
      <c r="G25" s="27">
        <v>6896</v>
      </c>
      <c r="H25" s="27">
        <f t="shared" si="0"/>
        <v>6896</v>
      </c>
      <c r="I25" s="28">
        <v>44409</v>
      </c>
      <c r="J25" s="20">
        <v>116.86</v>
      </c>
      <c r="K25" s="20">
        <v>98.98551277</v>
      </c>
      <c r="L25" s="20">
        <f t="shared" si="31"/>
        <v>0.4</v>
      </c>
      <c r="M25" s="20">
        <f t="shared" si="32"/>
        <v>3.15</v>
      </c>
      <c r="N25" s="20">
        <v>0</v>
      </c>
      <c r="O25" s="20">
        <f t="shared" si="33"/>
        <v>0.48</v>
      </c>
      <c r="P25" s="20">
        <f t="shared" si="1"/>
        <v>103.01551277000002</v>
      </c>
      <c r="Q25" s="20">
        <f t="shared" si="6"/>
        <v>13.844487229999984</v>
      </c>
      <c r="R25" s="21">
        <f t="shared" si="7"/>
        <v>120.32493949082139</v>
      </c>
      <c r="S25" s="24">
        <f t="shared" si="2"/>
        <v>3.4649394908213935</v>
      </c>
      <c r="T25" s="35">
        <f t="shared" si="8"/>
        <v>17.309426720821378</v>
      </c>
      <c r="U25" s="69">
        <f t="shared" si="9"/>
        <v>23894.22</v>
      </c>
      <c r="V25" s="24">
        <f t="shared" si="10"/>
        <v>0</v>
      </c>
      <c r="W25" s="62">
        <f t="shared" si="11"/>
        <v>0</v>
      </c>
      <c r="X25" s="68">
        <f t="shared" si="12"/>
        <v>0</v>
      </c>
      <c r="Y25" s="25">
        <f t="shared" si="3"/>
        <v>0</v>
      </c>
      <c r="Z25" s="67">
        <f t="shared" si="13"/>
        <v>120.32</v>
      </c>
      <c r="AA25" s="56">
        <f t="shared" si="4"/>
        <v>17.304487229999978</v>
      </c>
      <c r="AB25" s="74">
        <f t="shared" si="5"/>
        <v>23894.22</v>
      </c>
      <c r="AC25" s="74">
        <f t="shared" si="14"/>
        <v>5973.56</v>
      </c>
      <c r="AD25" s="74">
        <f t="shared" ref="AD25:AE25" si="37">+AC25</f>
        <v>5973.56</v>
      </c>
      <c r="AE25" s="74">
        <f t="shared" si="37"/>
        <v>5973.56</v>
      </c>
      <c r="AF25" s="74">
        <f t="shared" si="16"/>
        <v>5973.5400000000009</v>
      </c>
    </row>
    <row r="26" spans="1:32" x14ac:dyDescent="0.35">
      <c r="A26" s="8" t="s">
        <v>47</v>
      </c>
      <c r="B26" t="s">
        <v>48</v>
      </c>
      <c r="C26" t="s">
        <v>196</v>
      </c>
      <c r="D26" s="26">
        <v>43374</v>
      </c>
      <c r="E26" s="26">
        <v>43738</v>
      </c>
      <c r="F26" s="27">
        <v>25</v>
      </c>
      <c r="G26" s="27">
        <v>9105</v>
      </c>
      <c r="H26" s="27">
        <f t="shared" si="0"/>
        <v>9105</v>
      </c>
      <c r="I26" s="28">
        <v>44409</v>
      </c>
      <c r="J26" s="20">
        <v>77.959999999999994</v>
      </c>
      <c r="K26" s="20">
        <v>73.505088860000001</v>
      </c>
      <c r="L26" s="20">
        <f t="shared" si="31"/>
        <v>0.28999999999999998</v>
      </c>
      <c r="M26" s="20">
        <f t="shared" si="32"/>
        <v>2.34</v>
      </c>
      <c r="N26" s="20">
        <v>0.74</v>
      </c>
      <c r="O26" s="20">
        <f t="shared" si="33"/>
        <v>0.36</v>
      </c>
      <c r="P26" s="20">
        <f t="shared" si="1"/>
        <v>77.235088860000005</v>
      </c>
      <c r="Q26" s="20">
        <f t="shared" si="6"/>
        <v>0.72491113999998902</v>
      </c>
      <c r="R26" s="21">
        <f t="shared" si="7"/>
        <v>80.271541012360387</v>
      </c>
      <c r="S26" s="24">
        <f t="shared" si="2"/>
        <v>2.3115410123603937</v>
      </c>
      <c r="T26" s="35">
        <f t="shared" si="8"/>
        <v>3.0364521523603827</v>
      </c>
      <c r="U26" s="69">
        <f t="shared" si="9"/>
        <v>21046.58</v>
      </c>
      <c r="V26" s="24">
        <f t="shared" si="10"/>
        <v>0</v>
      </c>
      <c r="W26" s="62">
        <f t="shared" si="11"/>
        <v>0</v>
      </c>
      <c r="X26" s="68">
        <f t="shared" si="12"/>
        <v>0</v>
      </c>
      <c r="Y26" s="25">
        <f t="shared" si="3"/>
        <v>0</v>
      </c>
      <c r="Z26" s="67">
        <f t="shared" si="13"/>
        <v>80.27</v>
      </c>
      <c r="AA26" s="56">
        <f t="shared" si="4"/>
        <v>3.0349111399999913</v>
      </c>
      <c r="AB26" s="74">
        <f t="shared" si="5"/>
        <v>21046.58</v>
      </c>
      <c r="AC26" s="74">
        <f t="shared" si="14"/>
        <v>5261.65</v>
      </c>
      <c r="AD26" s="74">
        <f t="shared" ref="AD26:AE26" si="38">+AC26</f>
        <v>5261.65</v>
      </c>
      <c r="AE26" s="74">
        <f t="shared" si="38"/>
        <v>5261.65</v>
      </c>
      <c r="AF26" s="74">
        <f t="shared" si="16"/>
        <v>5261.6300000000028</v>
      </c>
    </row>
    <row r="27" spans="1:32" x14ac:dyDescent="0.35">
      <c r="A27" s="8" t="s">
        <v>49</v>
      </c>
      <c r="B27" t="s">
        <v>50</v>
      </c>
      <c r="C27" t="s">
        <v>197</v>
      </c>
      <c r="D27" s="26">
        <v>43374</v>
      </c>
      <c r="E27" s="26">
        <v>43738</v>
      </c>
      <c r="F27" s="27">
        <v>42</v>
      </c>
      <c r="G27" s="27">
        <v>11422</v>
      </c>
      <c r="H27" s="27">
        <f t="shared" si="0"/>
        <v>11422</v>
      </c>
      <c r="I27" s="28">
        <v>44409</v>
      </c>
      <c r="J27" s="20">
        <v>148.41</v>
      </c>
      <c r="K27" s="20">
        <v>144.27713036</v>
      </c>
      <c r="L27" s="20">
        <f t="shared" si="31"/>
        <v>0.57999999999999996</v>
      </c>
      <c r="M27" s="20">
        <f t="shared" si="32"/>
        <v>4.59</v>
      </c>
      <c r="N27" s="20">
        <v>0.27</v>
      </c>
      <c r="O27" s="20">
        <f t="shared" si="33"/>
        <v>0.7</v>
      </c>
      <c r="P27" s="20">
        <f t="shared" si="1"/>
        <v>150.41713036000002</v>
      </c>
      <c r="Q27" s="20">
        <f t="shared" si="6"/>
        <v>-2.0071303600000192</v>
      </c>
      <c r="R27" s="21">
        <f t="shared" si="7"/>
        <v>152.81040792258091</v>
      </c>
      <c r="S27" s="24">
        <f t="shared" si="2"/>
        <v>4.4004079225809107</v>
      </c>
      <c r="T27" s="35">
        <f t="shared" si="8"/>
        <v>2.3932775625808915</v>
      </c>
      <c r="U27" s="69">
        <f t="shared" si="9"/>
        <v>50261.46</v>
      </c>
      <c r="V27" s="24">
        <f t="shared" si="10"/>
        <v>0</v>
      </c>
      <c r="W27" s="62">
        <f t="shared" si="11"/>
        <v>0</v>
      </c>
      <c r="X27" s="68">
        <f t="shared" si="12"/>
        <v>0</v>
      </c>
      <c r="Y27" s="25">
        <f t="shared" si="3"/>
        <v>0</v>
      </c>
      <c r="Z27" s="67">
        <f t="shared" si="13"/>
        <v>152.81</v>
      </c>
      <c r="AA27" s="56">
        <f t="shared" si="4"/>
        <v>2.3928696399999865</v>
      </c>
      <c r="AB27" s="74">
        <f t="shared" si="5"/>
        <v>50261.46</v>
      </c>
      <c r="AC27" s="74">
        <f t="shared" si="14"/>
        <v>12565.37</v>
      </c>
      <c r="AD27" s="74">
        <f t="shared" ref="AD27:AE27" si="39">+AC27</f>
        <v>12565.37</v>
      </c>
      <c r="AE27" s="74">
        <f t="shared" si="39"/>
        <v>12565.37</v>
      </c>
      <c r="AF27" s="74">
        <f t="shared" si="16"/>
        <v>12565.349999999999</v>
      </c>
    </row>
    <row r="28" spans="1:32" x14ac:dyDescent="0.35">
      <c r="A28" s="8" t="s">
        <v>51</v>
      </c>
      <c r="B28" t="s">
        <v>52</v>
      </c>
      <c r="C28" t="s">
        <v>198</v>
      </c>
      <c r="D28" s="26">
        <v>43374</v>
      </c>
      <c r="E28" s="26">
        <v>43738</v>
      </c>
      <c r="F28" s="27">
        <v>22</v>
      </c>
      <c r="G28" s="27">
        <v>6550</v>
      </c>
      <c r="H28" s="27">
        <f t="shared" si="0"/>
        <v>6550</v>
      </c>
      <c r="I28" s="28">
        <v>44409</v>
      </c>
      <c r="J28" s="20">
        <v>136.43</v>
      </c>
      <c r="K28" s="20">
        <v>126.39989941</v>
      </c>
      <c r="L28" s="20">
        <f t="shared" si="31"/>
        <v>0.51</v>
      </c>
      <c r="M28" s="20">
        <f t="shared" si="32"/>
        <v>4.0199999999999996</v>
      </c>
      <c r="N28" s="20">
        <v>0</v>
      </c>
      <c r="O28" s="20">
        <f t="shared" si="33"/>
        <v>0.62</v>
      </c>
      <c r="P28" s="20">
        <f t="shared" si="1"/>
        <v>131.54989941000002</v>
      </c>
      <c r="Q28" s="20">
        <f t="shared" si="6"/>
        <v>4.8801005899999836</v>
      </c>
      <c r="R28" s="21">
        <f t="shared" si="7"/>
        <v>140.47519677163069</v>
      </c>
      <c r="S28" s="24">
        <f t="shared" si="2"/>
        <v>4.0451967716306854</v>
      </c>
      <c r="T28" s="35">
        <f t="shared" si="8"/>
        <v>8.925297361630669</v>
      </c>
      <c r="U28" s="69">
        <f t="shared" si="9"/>
        <v>26496.04</v>
      </c>
      <c r="V28" s="24">
        <f t="shared" si="10"/>
        <v>0</v>
      </c>
      <c r="W28" s="62">
        <f t="shared" si="11"/>
        <v>0</v>
      </c>
      <c r="X28" s="68">
        <f t="shared" si="12"/>
        <v>0</v>
      </c>
      <c r="Y28" s="25">
        <f t="shared" si="3"/>
        <v>0</v>
      </c>
      <c r="Z28" s="67">
        <f t="shared" si="13"/>
        <v>140.47999999999999</v>
      </c>
      <c r="AA28" s="56">
        <f t="shared" si="4"/>
        <v>8.9301005899999666</v>
      </c>
      <c r="AB28" s="74">
        <f t="shared" si="5"/>
        <v>26496.04</v>
      </c>
      <c r="AC28" s="74">
        <f t="shared" si="14"/>
        <v>6624.01</v>
      </c>
      <c r="AD28" s="74">
        <f t="shared" ref="AD28:AE28" si="40">+AC28</f>
        <v>6624.01</v>
      </c>
      <c r="AE28" s="74">
        <f t="shared" si="40"/>
        <v>6624.01</v>
      </c>
      <c r="AF28" s="74">
        <f t="shared" si="16"/>
        <v>6624.010000000002</v>
      </c>
    </row>
    <row r="29" spans="1:32" x14ac:dyDescent="0.35">
      <c r="A29" s="8" t="s">
        <v>53</v>
      </c>
      <c r="B29" t="s">
        <v>54</v>
      </c>
      <c r="C29" t="s">
        <v>199</v>
      </c>
      <c r="D29" s="26">
        <v>43374</v>
      </c>
      <c r="E29" s="26">
        <v>43738</v>
      </c>
      <c r="F29" s="27">
        <v>17</v>
      </c>
      <c r="G29" s="27">
        <v>5445</v>
      </c>
      <c r="H29" s="27">
        <f t="shared" si="0"/>
        <v>5445</v>
      </c>
      <c r="I29" s="28">
        <v>44409</v>
      </c>
      <c r="J29" s="20">
        <v>71.14</v>
      </c>
      <c r="K29" s="20">
        <v>72.593314980000002</v>
      </c>
      <c r="L29" s="20">
        <f t="shared" si="31"/>
        <v>0.28999999999999998</v>
      </c>
      <c r="M29" s="20">
        <f t="shared" si="32"/>
        <v>2.31</v>
      </c>
      <c r="N29" s="20">
        <v>0.28999999999999998</v>
      </c>
      <c r="O29" s="20">
        <f t="shared" si="33"/>
        <v>0.35</v>
      </c>
      <c r="P29" s="20">
        <f t="shared" si="1"/>
        <v>75.833314980000011</v>
      </c>
      <c r="Q29" s="20">
        <f t="shared" si="6"/>
        <v>-4.6933149800000109</v>
      </c>
      <c r="R29" s="21">
        <f t="shared" si="7"/>
        <v>73.249325649298598</v>
      </c>
      <c r="S29" s="24">
        <f t="shared" si="2"/>
        <v>2.1093256492985972</v>
      </c>
      <c r="T29" s="35">
        <f t="shared" si="8"/>
        <v>-2.5839893307014137</v>
      </c>
      <c r="U29" s="69">
        <f t="shared" si="9"/>
        <v>11485.28</v>
      </c>
      <c r="V29" s="24">
        <f t="shared" si="10"/>
        <v>-2.5839893307014137</v>
      </c>
      <c r="W29" s="62">
        <f t="shared" si="11"/>
        <v>14069.821905669198</v>
      </c>
      <c r="X29" s="68">
        <f t="shared" si="12"/>
        <v>14069.82</v>
      </c>
      <c r="Y29" s="25">
        <f t="shared" si="3"/>
        <v>2.5839889807162533</v>
      </c>
      <c r="Z29" s="67">
        <f t="shared" si="13"/>
        <v>75.83</v>
      </c>
      <c r="AA29" s="56">
        <f t="shared" si="4"/>
        <v>-3.3149800000131791E-3</v>
      </c>
      <c r="AB29" s="74">
        <f t="shared" si="5"/>
        <v>25555.1</v>
      </c>
      <c r="AC29" s="74">
        <f t="shared" si="14"/>
        <v>6388.78</v>
      </c>
      <c r="AD29" s="74">
        <f t="shared" ref="AD29:AE29" si="41">+AC29</f>
        <v>6388.78</v>
      </c>
      <c r="AE29" s="74">
        <f t="shared" si="41"/>
        <v>6388.78</v>
      </c>
      <c r="AF29" s="74">
        <f t="shared" si="16"/>
        <v>6388.7599999999984</v>
      </c>
    </row>
    <row r="30" spans="1:32" x14ac:dyDescent="0.35">
      <c r="A30" s="8" t="s">
        <v>55</v>
      </c>
      <c r="B30" t="s">
        <v>56</v>
      </c>
      <c r="C30" t="s">
        <v>200</v>
      </c>
      <c r="D30" s="26">
        <v>43374</v>
      </c>
      <c r="E30" s="26">
        <v>43738</v>
      </c>
      <c r="F30" s="27">
        <v>33</v>
      </c>
      <c r="G30" s="27">
        <v>10893</v>
      </c>
      <c r="H30" s="27">
        <f t="shared" si="0"/>
        <v>10893</v>
      </c>
      <c r="I30" s="28">
        <v>44409</v>
      </c>
      <c r="J30" s="20">
        <v>91.85</v>
      </c>
      <c r="K30" s="20">
        <v>95.651224810000002</v>
      </c>
      <c r="L30" s="20">
        <f t="shared" si="31"/>
        <v>0.38</v>
      </c>
      <c r="M30" s="20">
        <f t="shared" si="32"/>
        <v>3.04</v>
      </c>
      <c r="N30" s="20">
        <v>0.12</v>
      </c>
      <c r="O30" s="20">
        <f t="shared" ref="O30:O53" si="42">ROUND(SUM(K30:N30)*0.0047,2)</f>
        <v>0.47</v>
      </c>
      <c r="P30" s="20">
        <f t="shared" si="1"/>
        <v>99.661224810000007</v>
      </c>
      <c r="Q30" s="20">
        <f t="shared" si="6"/>
        <v>-7.811224810000013</v>
      </c>
      <c r="R30" s="21">
        <f t="shared" si="7"/>
        <v>94.573384325106488</v>
      </c>
      <c r="S30" s="24">
        <f t="shared" si="2"/>
        <v>2.723384325106494</v>
      </c>
      <c r="T30" s="35">
        <f t="shared" si="8"/>
        <v>-5.087840484893519</v>
      </c>
      <c r="U30" s="69">
        <f t="shared" si="9"/>
        <v>29665.83</v>
      </c>
      <c r="V30" s="24">
        <f t="shared" si="10"/>
        <v>-5.087840484893519</v>
      </c>
      <c r="W30" s="62">
        <f t="shared" si="11"/>
        <v>55421.846401945106</v>
      </c>
      <c r="X30" s="68">
        <f t="shared" si="12"/>
        <v>55421.85</v>
      </c>
      <c r="Y30" s="25">
        <f t="shared" si="3"/>
        <v>5.0878408152024237</v>
      </c>
      <c r="Z30" s="67">
        <f t="shared" si="13"/>
        <v>99.66</v>
      </c>
      <c r="AA30" s="56">
        <f t="shared" si="4"/>
        <v>-1.2248100000107343E-3</v>
      </c>
      <c r="AB30" s="74">
        <f t="shared" si="5"/>
        <v>85087.679999999993</v>
      </c>
      <c r="AC30" s="74">
        <f t="shared" si="14"/>
        <v>21271.919999999998</v>
      </c>
      <c r="AD30" s="74">
        <f t="shared" ref="AD30:AE30" si="43">+AC30</f>
        <v>21271.919999999998</v>
      </c>
      <c r="AE30" s="74">
        <f t="shared" si="43"/>
        <v>21271.919999999998</v>
      </c>
      <c r="AF30" s="74">
        <f t="shared" si="16"/>
        <v>21271.919999999998</v>
      </c>
    </row>
    <row r="31" spans="1:32" x14ac:dyDescent="0.35">
      <c r="A31" s="8" t="s">
        <v>57</v>
      </c>
      <c r="B31" t="s">
        <v>58</v>
      </c>
      <c r="C31" t="s">
        <v>201</v>
      </c>
      <c r="D31" s="26">
        <v>43374</v>
      </c>
      <c r="E31" s="26">
        <v>43738</v>
      </c>
      <c r="F31" s="27">
        <v>15</v>
      </c>
      <c r="G31" s="27">
        <v>4165</v>
      </c>
      <c r="H31" s="27">
        <f t="shared" si="0"/>
        <v>4165</v>
      </c>
      <c r="I31" s="28">
        <v>44409</v>
      </c>
      <c r="J31" s="20">
        <v>78.61</v>
      </c>
      <c r="K31" s="20">
        <v>74.711845679999996</v>
      </c>
      <c r="L31" s="20">
        <f t="shared" si="31"/>
        <v>0.3</v>
      </c>
      <c r="M31" s="20">
        <f t="shared" si="32"/>
        <v>2.38</v>
      </c>
      <c r="N31" s="20">
        <v>0</v>
      </c>
      <c r="O31" s="20">
        <f t="shared" si="42"/>
        <v>0.36</v>
      </c>
      <c r="P31" s="20">
        <f t="shared" si="1"/>
        <v>77.751845679999988</v>
      </c>
      <c r="Q31" s="20">
        <f t="shared" si="6"/>
        <v>0.85815432000001124</v>
      </c>
      <c r="R31" s="21">
        <f t="shared" si="7"/>
        <v>80.940813737578893</v>
      </c>
      <c r="S31" s="24">
        <f t="shared" si="2"/>
        <v>2.3308137375788931</v>
      </c>
      <c r="T31" s="35">
        <f t="shared" si="8"/>
        <v>3.1889680575789043</v>
      </c>
      <c r="U31" s="69">
        <f t="shared" si="9"/>
        <v>9707.84</v>
      </c>
      <c r="V31" s="24">
        <f t="shared" si="10"/>
        <v>0</v>
      </c>
      <c r="W31" s="62">
        <f t="shared" si="11"/>
        <v>0</v>
      </c>
      <c r="X31" s="68">
        <f t="shared" si="12"/>
        <v>0</v>
      </c>
      <c r="Y31" s="25">
        <f t="shared" si="3"/>
        <v>0</v>
      </c>
      <c r="Z31" s="67">
        <f t="shared" si="13"/>
        <v>80.94</v>
      </c>
      <c r="AA31" s="56">
        <f t="shared" si="4"/>
        <v>3.1881543200000095</v>
      </c>
      <c r="AB31" s="74">
        <f t="shared" si="5"/>
        <v>9707.84</v>
      </c>
      <c r="AC31" s="74">
        <f t="shared" si="14"/>
        <v>2426.96</v>
      </c>
      <c r="AD31" s="74">
        <f t="shared" ref="AD31:AE31" si="44">+AC31</f>
        <v>2426.96</v>
      </c>
      <c r="AE31" s="74">
        <f t="shared" si="44"/>
        <v>2426.96</v>
      </c>
      <c r="AF31" s="74">
        <f t="shared" si="16"/>
        <v>2426.96</v>
      </c>
    </row>
    <row r="32" spans="1:32" x14ac:dyDescent="0.35">
      <c r="A32" s="8" t="s">
        <v>59</v>
      </c>
      <c r="B32" t="s">
        <v>60</v>
      </c>
      <c r="C32" t="s">
        <v>202</v>
      </c>
      <c r="D32" s="26">
        <v>43374</v>
      </c>
      <c r="E32" s="26">
        <v>43738</v>
      </c>
      <c r="F32" s="27">
        <v>24</v>
      </c>
      <c r="G32" s="27">
        <v>7880</v>
      </c>
      <c r="H32" s="27">
        <f t="shared" si="0"/>
        <v>7880</v>
      </c>
      <c r="I32" s="28">
        <v>44409</v>
      </c>
      <c r="J32" s="20">
        <v>76.599999999999994</v>
      </c>
      <c r="K32" s="20">
        <v>73.871226519999993</v>
      </c>
      <c r="L32" s="20">
        <f t="shared" si="31"/>
        <v>0.3</v>
      </c>
      <c r="M32" s="20">
        <f t="shared" si="32"/>
        <v>2.35</v>
      </c>
      <c r="N32" s="20">
        <v>0</v>
      </c>
      <c r="O32" s="20">
        <f t="shared" si="42"/>
        <v>0.36</v>
      </c>
      <c r="P32" s="20">
        <f t="shared" si="1"/>
        <v>76.881226519999984</v>
      </c>
      <c r="Q32" s="20">
        <f t="shared" si="6"/>
        <v>-0.28122651999998993</v>
      </c>
      <c r="R32" s="21">
        <f t="shared" si="7"/>
        <v>78.87121654113399</v>
      </c>
      <c r="S32" s="24">
        <f t="shared" si="2"/>
        <v>2.2712165411339953</v>
      </c>
      <c r="T32" s="35">
        <f t="shared" si="8"/>
        <v>1.9899900211340054</v>
      </c>
      <c r="U32" s="69">
        <f t="shared" si="9"/>
        <v>17897.189999999999</v>
      </c>
      <c r="V32" s="24">
        <f t="shared" si="10"/>
        <v>0</v>
      </c>
      <c r="W32" s="62">
        <f t="shared" si="11"/>
        <v>0</v>
      </c>
      <c r="X32" s="68">
        <f t="shared" si="12"/>
        <v>0</v>
      </c>
      <c r="Y32" s="25">
        <f t="shared" si="3"/>
        <v>0</v>
      </c>
      <c r="Z32" s="67">
        <f t="shared" si="13"/>
        <v>78.87</v>
      </c>
      <c r="AA32" s="56">
        <f t="shared" si="4"/>
        <v>1.9887734800000203</v>
      </c>
      <c r="AB32" s="74">
        <f t="shared" si="5"/>
        <v>17897.189999999999</v>
      </c>
      <c r="AC32" s="74">
        <f t="shared" si="14"/>
        <v>4474.3</v>
      </c>
      <c r="AD32" s="74">
        <f t="shared" ref="AD32:AE32" si="45">+AC32</f>
        <v>4474.3</v>
      </c>
      <c r="AE32" s="74">
        <f t="shared" si="45"/>
        <v>4474.3</v>
      </c>
      <c r="AF32" s="74">
        <f t="shared" si="16"/>
        <v>4474.2899999999972</v>
      </c>
    </row>
    <row r="33" spans="1:32" x14ac:dyDescent="0.35">
      <c r="A33" s="8" t="s">
        <v>61</v>
      </c>
      <c r="B33" t="s">
        <v>62</v>
      </c>
      <c r="C33" t="s">
        <v>203</v>
      </c>
      <c r="D33" s="26">
        <v>43374</v>
      </c>
      <c r="E33" s="26">
        <v>43738</v>
      </c>
      <c r="F33" s="27">
        <v>68</v>
      </c>
      <c r="G33" s="27">
        <v>20687</v>
      </c>
      <c r="H33" s="27">
        <f t="shared" si="0"/>
        <v>20687</v>
      </c>
      <c r="I33" s="28">
        <v>44409</v>
      </c>
      <c r="J33" s="20">
        <v>75.08</v>
      </c>
      <c r="K33" s="20">
        <v>77.993822809999998</v>
      </c>
      <c r="L33" s="20">
        <f t="shared" si="31"/>
        <v>0.31</v>
      </c>
      <c r="M33" s="20">
        <f t="shared" si="32"/>
        <v>2.48</v>
      </c>
      <c r="N33" s="20">
        <v>0</v>
      </c>
      <c r="O33" s="20">
        <f t="shared" si="42"/>
        <v>0.38</v>
      </c>
      <c r="P33" s="20">
        <f t="shared" si="1"/>
        <v>81.163822809999999</v>
      </c>
      <c r="Q33" s="20">
        <f t="shared" si="6"/>
        <v>-6.0838228100000009</v>
      </c>
      <c r="R33" s="21">
        <f t="shared" si="7"/>
        <v>77.306148014469201</v>
      </c>
      <c r="S33" s="24">
        <f t="shared" si="2"/>
        <v>2.226148014469203</v>
      </c>
      <c r="T33" s="35">
        <f t="shared" si="8"/>
        <v>-3.857674795530798</v>
      </c>
      <c r="U33" s="69">
        <f t="shared" si="9"/>
        <v>46052.32</v>
      </c>
      <c r="V33" s="24">
        <f t="shared" si="10"/>
        <v>-3.857674795530798</v>
      </c>
      <c r="W33" s="62">
        <f t="shared" si="11"/>
        <v>79803.718495145615</v>
      </c>
      <c r="X33" s="68">
        <f t="shared" si="12"/>
        <v>79803.72</v>
      </c>
      <c r="Y33" s="25">
        <f t="shared" si="3"/>
        <v>3.8576748682747621</v>
      </c>
      <c r="Z33" s="67">
        <f t="shared" si="13"/>
        <v>81.16</v>
      </c>
      <c r="AA33" s="56">
        <f t="shared" si="4"/>
        <v>-3.8228100000026188E-3</v>
      </c>
      <c r="AB33" s="74">
        <f t="shared" si="5"/>
        <v>125856.04000000001</v>
      </c>
      <c r="AC33" s="74">
        <f t="shared" si="14"/>
        <v>31464.01</v>
      </c>
      <c r="AD33" s="74">
        <f t="shared" ref="AD33:AE33" si="46">+AC33</f>
        <v>31464.01</v>
      </c>
      <c r="AE33" s="74">
        <f t="shared" si="46"/>
        <v>31464.01</v>
      </c>
      <c r="AF33" s="74">
        <f t="shared" si="16"/>
        <v>31464.010000000009</v>
      </c>
    </row>
    <row r="34" spans="1:32" x14ac:dyDescent="0.35">
      <c r="A34" s="8" t="s">
        <v>63</v>
      </c>
      <c r="B34" t="s">
        <v>64</v>
      </c>
      <c r="C34" t="s">
        <v>204</v>
      </c>
      <c r="D34" s="26">
        <v>43374</v>
      </c>
      <c r="E34" s="26">
        <v>43738</v>
      </c>
      <c r="F34" s="27">
        <v>18</v>
      </c>
      <c r="G34" s="27">
        <v>5526</v>
      </c>
      <c r="H34" s="27">
        <f t="shared" si="0"/>
        <v>5526</v>
      </c>
      <c r="I34" s="28">
        <v>44409</v>
      </c>
      <c r="J34" s="20">
        <v>86.36</v>
      </c>
      <c r="K34" s="20">
        <v>85.714676269999998</v>
      </c>
      <c r="L34" s="20">
        <f t="shared" si="31"/>
        <v>0.34</v>
      </c>
      <c r="M34" s="20">
        <f t="shared" si="32"/>
        <v>2.73</v>
      </c>
      <c r="N34" s="20">
        <v>0</v>
      </c>
      <c r="O34" s="20">
        <f t="shared" si="42"/>
        <v>0.42</v>
      </c>
      <c r="P34" s="20">
        <f t="shared" si="1"/>
        <v>89.204676270000007</v>
      </c>
      <c r="Q34" s="20">
        <f t="shared" si="6"/>
        <v>-2.8446762700000079</v>
      </c>
      <c r="R34" s="21">
        <f t="shared" si="7"/>
        <v>88.920603922876396</v>
      </c>
      <c r="S34" s="24">
        <f t="shared" si="2"/>
        <v>2.5606039228763962</v>
      </c>
      <c r="T34" s="35">
        <f t="shared" si="8"/>
        <v>-0.28407234712361173</v>
      </c>
      <c r="U34" s="69">
        <f t="shared" si="9"/>
        <v>14149.9</v>
      </c>
      <c r="V34" s="24">
        <f t="shared" si="10"/>
        <v>-0.28407234712361173</v>
      </c>
      <c r="W34" s="62">
        <f t="shared" si="11"/>
        <v>1569.7837902050785</v>
      </c>
      <c r="X34" s="68">
        <f t="shared" si="12"/>
        <v>1569.78</v>
      </c>
      <c r="Y34" s="25">
        <f t="shared" si="3"/>
        <v>0.28407166123778499</v>
      </c>
      <c r="Z34" s="67">
        <f t="shared" si="13"/>
        <v>89.2</v>
      </c>
      <c r="AA34" s="56">
        <f t="shared" si="4"/>
        <v>-4.6762700000044788E-3</v>
      </c>
      <c r="AB34" s="74">
        <f t="shared" si="5"/>
        <v>15719.68</v>
      </c>
      <c r="AC34" s="74">
        <f t="shared" si="14"/>
        <v>3929.92</v>
      </c>
      <c r="AD34" s="74">
        <f t="shared" ref="AD34:AE34" si="47">+AC34</f>
        <v>3929.92</v>
      </c>
      <c r="AE34" s="74">
        <f t="shared" si="47"/>
        <v>3929.92</v>
      </c>
      <c r="AF34" s="74">
        <f t="shared" si="16"/>
        <v>3929.92</v>
      </c>
    </row>
    <row r="35" spans="1:32" x14ac:dyDescent="0.35">
      <c r="A35" s="8" t="s">
        <v>65</v>
      </c>
      <c r="B35" t="s">
        <v>66</v>
      </c>
      <c r="C35" t="s">
        <v>205</v>
      </c>
      <c r="D35" s="26">
        <v>43374</v>
      </c>
      <c r="E35" s="26">
        <v>43738</v>
      </c>
      <c r="F35" s="27">
        <v>25</v>
      </c>
      <c r="G35" s="27">
        <v>7546</v>
      </c>
      <c r="H35" s="27">
        <f t="shared" si="0"/>
        <v>7546</v>
      </c>
      <c r="I35" s="28">
        <v>44409</v>
      </c>
      <c r="J35" s="20">
        <v>76.89</v>
      </c>
      <c r="K35" s="20">
        <v>66.978371550000006</v>
      </c>
      <c r="L35" s="20">
        <f t="shared" si="31"/>
        <v>0.27</v>
      </c>
      <c r="M35" s="20">
        <f t="shared" si="32"/>
        <v>2.13</v>
      </c>
      <c r="N35" s="20">
        <v>0.19</v>
      </c>
      <c r="O35" s="20">
        <f t="shared" si="42"/>
        <v>0.33</v>
      </c>
      <c r="P35" s="20">
        <f t="shared" si="1"/>
        <v>69.898371549999993</v>
      </c>
      <c r="Q35" s="20">
        <f t="shared" si="6"/>
        <v>6.9916284500000074</v>
      </c>
      <c r="R35" s="21">
        <f t="shared" si="7"/>
        <v>79.169815141616098</v>
      </c>
      <c r="S35" s="24">
        <f t="shared" si="2"/>
        <v>2.2798151416160977</v>
      </c>
      <c r="T35" s="35">
        <f t="shared" si="8"/>
        <v>9.2714435916161051</v>
      </c>
      <c r="U35" s="69">
        <f t="shared" si="9"/>
        <v>17203.490000000002</v>
      </c>
      <c r="V35" s="24">
        <f t="shared" si="10"/>
        <v>0</v>
      </c>
      <c r="W35" s="62">
        <f t="shared" si="11"/>
        <v>0</v>
      </c>
      <c r="X35" s="68">
        <f t="shared" si="12"/>
        <v>0</v>
      </c>
      <c r="Y35" s="25">
        <f t="shared" si="3"/>
        <v>0</v>
      </c>
      <c r="Z35" s="67">
        <f t="shared" si="13"/>
        <v>79.17</v>
      </c>
      <c r="AA35" s="56">
        <f t="shared" si="4"/>
        <v>9.2716284500000086</v>
      </c>
      <c r="AB35" s="74">
        <f t="shared" si="5"/>
        <v>17203.490000000002</v>
      </c>
      <c r="AC35" s="74">
        <f t="shared" si="14"/>
        <v>4300.87</v>
      </c>
      <c r="AD35" s="74">
        <f t="shared" ref="AD35:AE35" si="48">+AC35</f>
        <v>4300.87</v>
      </c>
      <c r="AE35" s="74">
        <f t="shared" si="48"/>
        <v>4300.87</v>
      </c>
      <c r="AF35" s="74">
        <f t="shared" si="16"/>
        <v>4300.880000000001</v>
      </c>
    </row>
    <row r="36" spans="1:32" x14ac:dyDescent="0.35">
      <c r="A36" s="8" t="s">
        <v>67</v>
      </c>
      <c r="B36" t="s">
        <v>68</v>
      </c>
      <c r="C36" t="s">
        <v>206</v>
      </c>
      <c r="D36" s="26">
        <v>43374</v>
      </c>
      <c r="E36" s="26">
        <v>43738</v>
      </c>
      <c r="F36" s="27">
        <v>17</v>
      </c>
      <c r="G36" s="27">
        <v>6174</v>
      </c>
      <c r="H36" s="27">
        <f t="shared" si="0"/>
        <v>6174</v>
      </c>
      <c r="I36" s="28">
        <v>44409</v>
      </c>
      <c r="J36" s="20">
        <v>109.3</v>
      </c>
      <c r="K36" s="20">
        <v>120.37125588000001</v>
      </c>
      <c r="L36" s="20">
        <f t="shared" si="31"/>
        <v>0.48</v>
      </c>
      <c r="M36" s="20">
        <f t="shared" si="32"/>
        <v>3.83</v>
      </c>
      <c r="N36" s="20">
        <v>0</v>
      </c>
      <c r="O36" s="20">
        <f t="shared" si="42"/>
        <v>0.59</v>
      </c>
      <c r="P36" s="20">
        <f t="shared" si="1"/>
        <v>125.27125588000001</v>
      </c>
      <c r="Q36" s="20">
        <f t="shared" si="6"/>
        <v>-15.971255880000015</v>
      </c>
      <c r="R36" s="21">
        <f t="shared" si="7"/>
        <v>112.540782871357</v>
      </c>
      <c r="S36" s="24">
        <f t="shared" si="2"/>
        <v>3.2407828713569984</v>
      </c>
      <c r="T36" s="35">
        <f t="shared" si="8"/>
        <v>-12.730473008643017</v>
      </c>
      <c r="U36" s="69">
        <f t="shared" si="9"/>
        <v>20008.59</v>
      </c>
      <c r="V36" s="24">
        <f t="shared" si="10"/>
        <v>-12.730473008643017</v>
      </c>
      <c r="W36" s="62">
        <f t="shared" si="11"/>
        <v>48637.87554134307</v>
      </c>
      <c r="X36" s="68">
        <f t="shared" si="12"/>
        <v>48637.88</v>
      </c>
      <c r="Y36" s="25">
        <f t="shared" si="3"/>
        <v>7.8778555231616449</v>
      </c>
      <c r="Z36" s="67">
        <f t="shared" si="13"/>
        <v>120.42</v>
      </c>
      <c r="AA36" s="56">
        <f t="shared" si="4"/>
        <v>-4.8512558800000107</v>
      </c>
      <c r="AB36" s="74">
        <f t="shared" si="5"/>
        <v>68646.47</v>
      </c>
      <c r="AC36" s="74">
        <f t="shared" si="14"/>
        <v>17161.62</v>
      </c>
      <c r="AD36" s="74">
        <f t="shared" ref="AD36:AE36" si="49">+AC36</f>
        <v>17161.62</v>
      </c>
      <c r="AE36" s="74">
        <f t="shared" si="49"/>
        <v>17161.62</v>
      </c>
      <c r="AF36" s="74">
        <f t="shared" si="16"/>
        <v>17161.61</v>
      </c>
    </row>
    <row r="37" spans="1:32" x14ac:dyDescent="0.35">
      <c r="A37" s="8" t="s">
        <v>69</v>
      </c>
      <c r="B37" t="s">
        <v>70</v>
      </c>
      <c r="C37" t="s">
        <v>207</v>
      </c>
      <c r="D37" s="26">
        <v>43374</v>
      </c>
      <c r="E37" s="26">
        <v>43738</v>
      </c>
      <c r="F37" s="27">
        <v>18</v>
      </c>
      <c r="G37" s="27">
        <v>5755</v>
      </c>
      <c r="H37" s="27">
        <f t="shared" si="0"/>
        <v>5755</v>
      </c>
      <c r="I37" s="28">
        <v>44409</v>
      </c>
      <c r="J37" s="20">
        <v>60.51</v>
      </c>
      <c r="K37" s="20">
        <v>63.813989489999997</v>
      </c>
      <c r="L37" s="20">
        <f t="shared" si="31"/>
        <v>0.26</v>
      </c>
      <c r="M37" s="20">
        <f t="shared" si="32"/>
        <v>2.0299999999999998</v>
      </c>
      <c r="N37" s="20">
        <v>0</v>
      </c>
      <c r="O37" s="20">
        <f t="shared" si="42"/>
        <v>0.31</v>
      </c>
      <c r="P37" s="20">
        <f t="shared" si="1"/>
        <v>66.413989490000006</v>
      </c>
      <c r="Q37" s="20">
        <f t="shared" si="6"/>
        <v>-5.9039894900000078</v>
      </c>
      <c r="R37" s="21">
        <f t="shared" si="7"/>
        <v>62.304142466109894</v>
      </c>
      <c r="S37" s="24">
        <f t="shared" si="2"/>
        <v>1.7941424661098964</v>
      </c>
      <c r="T37" s="35">
        <f t="shared" si="8"/>
        <v>-4.1098470238901115</v>
      </c>
      <c r="U37" s="69">
        <f t="shared" si="9"/>
        <v>10325.290000000001</v>
      </c>
      <c r="V37" s="24">
        <f t="shared" si="10"/>
        <v>-4.1098470238901115</v>
      </c>
      <c r="W37" s="62">
        <f t="shared" si="11"/>
        <v>23652.169622487592</v>
      </c>
      <c r="X37" s="68">
        <f t="shared" si="12"/>
        <v>23652.17</v>
      </c>
      <c r="Y37" s="25">
        <f t="shared" si="3"/>
        <v>4.1098470894874017</v>
      </c>
      <c r="Z37" s="67">
        <f t="shared" si="13"/>
        <v>66.41</v>
      </c>
      <c r="AA37" s="56">
        <f t="shared" si="4"/>
        <v>-3.9894900000092548E-3</v>
      </c>
      <c r="AB37" s="74">
        <f t="shared" si="5"/>
        <v>33977.46</v>
      </c>
      <c r="AC37" s="74">
        <f t="shared" si="14"/>
        <v>8494.3700000000008</v>
      </c>
      <c r="AD37" s="74">
        <f t="shared" ref="AD37:AE37" si="50">+AC37</f>
        <v>8494.3700000000008</v>
      </c>
      <c r="AE37" s="74">
        <f t="shared" si="50"/>
        <v>8494.3700000000008</v>
      </c>
      <c r="AF37" s="74">
        <f t="shared" si="16"/>
        <v>8494.3499999999985</v>
      </c>
    </row>
    <row r="38" spans="1:32" x14ac:dyDescent="0.35">
      <c r="A38" s="8" t="s">
        <v>71</v>
      </c>
      <c r="B38" t="s">
        <v>72</v>
      </c>
      <c r="C38" t="s">
        <v>208</v>
      </c>
      <c r="D38" s="26">
        <v>43374</v>
      </c>
      <c r="E38" s="26">
        <v>43738</v>
      </c>
      <c r="F38" s="27">
        <v>97</v>
      </c>
      <c r="G38" s="27">
        <v>31068</v>
      </c>
      <c r="H38" s="27">
        <f t="shared" si="0"/>
        <v>31068</v>
      </c>
      <c r="I38" s="28">
        <v>44409</v>
      </c>
      <c r="J38" s="20">
        <v>114.05</v>
      </c>
      <c r="K38" s="20">
        <v>127.08</v>
      </c>
      <c r="L38" s="20">
        <f t="shared" si="31"/>
        <v>0.51</v>
      </c>
      <c r="M38" s="20">
        <f t="shared" si="32"/>
        <v>4.04</v>
      </c>
      <c r="N38" s="20">
        <v>0.46</v>
      </c>
      <c r="O38" s="20">
        <f t="shared" si="42"/>
        <v>0.62</v>
      </c>
      <c r="P38" s="20">
        <f t="shared" ref="P38:P67" si="51">SUM(K38:O38)</f>
        <v>132.71</v>
      </c>
      <c r="Q38" s="20">
        <f t="shared" si="6"/>
        <v>-18.660000000000011</v>
      </c>
      <c r="R38" s="21">
        <f t="shared" si="7"/>
        <v>117.43162201718449</v>
      </c>
      <c r="S38" s="24">
        <f t="shared" si="2"/>
        <v>3.3816220171844975</v>
      </c>
      <c r="T38" s="35">
        <f t="shared" si="8"/>
        <v>-15.278377982815513</v>
      </c>
      <c r="U38" s="69">
        <f t="shared" si="9"/>
        <v>105060.23</v>
      </c>
      <c r="V38" s="24">
        <f t="shared" si="10"/>
        <v>-15.278377982815513</v>
      </c>
      <c r="W38" s="62">
        <f t="shared" si="11"/>
        <v>255385.59429809215</v>
      </c>
      <c r="X38" s="68">
        <f t="shared" si="12"/>
        <v>255385.59</v>
      </c>
      <c r="Y38" s="25">
        <f t="shared" si="3"/>
        <v>8.2202134028582456</v>
      </c>
      <c r="Z38" s="67">
        <f t="shared" si="13"/>
        <v>125.65</v>
      </c>
      <c r="AA38" s="56">
        <f t="shared" si="4"/>
        <v>-7.0600000000000023</v>
      </c>
      <c r="AB38" s="74">
        <f t="shared" si="5"/>
        <v>360445.82</v>
      </c>
      <c r="AC38" s="74">
        <f t="shared" si="14"/>
        <v>90111.46</v>
      </c>
      <c r="AD38" s="74">
        <f t="shared" ref="AD38:AE38" si="52">+AC38</f>
        <v>90111.46</v>
      </c>
      <c r="AE38" s="74">
        <f t="shared" si="52"/>
        <v>90111.46</v>
      </c>
      <c r="AF38" s="74">
        <f t="shared" si="16"/>
        <v>90111.44</v>
      </c>
    </row>
    <row r="39" spans="1:32" x14ac:dyDescent="0.35">
      <c r="A39" s="8" t="s">
        <v>73</v>
      </c>
      <c r="B39" t="s">
        <v>74</v>
      </c>
      <c r="C39" t="s">
        <v>209</v>
      </c>
      <c r="D39" s="26">
        <v>43374</v>
      </c>
      <c r="E39" s="26">
        <v>43738</v>
      </c>
      <c r="F39" s="27">
        <v>12</v>
      </c>
      <c r="G39" s="27">
        <v>4039</v>
      </c>
      <c r="H39" s="27">
        <f t="shared" si="0"/>
        <v>4039</v>
      </c>
      <c r="I39" s="28">
        <v>44409</v>
      </c>
      <c r="J39" s="20">
        <v>86.46</v>
      </c>
      <c r="K39" s="20">
        <v>85.496781179999999</v>
      </c>
      <c r="L39" s="20">
        <f t="shared" si="31"/>
        <v>0.34</v>
      </c>
      <c r="M39" s="20">
        <f t="shared" si="32"/>
        <v>2.72</v>
      </c>
      <c r="N39" s="20">
        <v>0.41</v>
      </c>
      <c r="O39" s="20">
        <f t="shared" si="42"/>
        <v>0.42</v>
      </c>
      <c r="P39" s="20">
        <f t="shared" si="51"/>
        <v>89.38678118</v>
      </c>
      <c r="Q39" s="20">
        <f t="shared" si="6"/>
        <v>-2.9267811800000061</v>
      </c>
      <c r="R39" s="21">
        <f t="shared" si="7"/>
        <v>89.023568957525399</v>
      </c>
      <c r="S39" s="24">
        <f t="shared" si="2"/>
        <v>2.5635689575254048</v>
      </c>
      <c r="T39" s="35">
        <f t="shared" si="8"/>
        <v>-0.36321222247460128</v>
      </c>
      <c r="U39" s="69">
        <f t="shared" si="9"/>
        <v>10354.26</v>
      </c>
      <c r="V39" s="24">
        <f t="shared" si="10"/>
        <v>-0.36321222247460128</v>
      </c>
      <c r="W39" s="62">
        <f t="shared" si="11"/>
        <v>1467.0141665749145</v>
      </c>
      <c r="X39" s="68">
        <f t="shared" si="12"/>
        <v>1467.01</v>
      </c>
      <c r="Y39" s="25">
        <f t="shared" si="3"/>
        <v>0.36321119088883386</v>
      </c>
      <c r="Z39" s="67">
        <f t="shared" si="13"/>
        <v>89.39</v>
      </c>
      <c r="AA39" s="56">
        <f t="shared" si="4"/>
        <v>3.2188200000007328E-3</v>
      </c>
      <c r="AB39" s="74">
        <f t="shared" si="5"/>
        <v>11821.27</v>
      </c>
      <c r="AC39" s="74">
        <f t="shared" si="14"/>
        <v>2955.32</v>
      </c>
      <c r="AD39" s="74">
        <f t="shared" ref="AD39:AE39" si="53">+AC39</f>
        <v>2955.32</v>
      </c>
      <c r="AE39" s="74">
        <f t="shared" si="53"/>
        <v>2955.32</v>
      </c>
      <c r="AF39" s="74">
        <f t="shared" si="16"/>
        <v>2955.3099999999995</v>
      </c>
    </row>
    <row r="40" spans="1:32" x14ac:dyDescent="0.35">
      <c r="A40" s="8" t="s">
        <v>75</v>
      </c>
      <c r="B40" t="s">
        <v>76</v>
      </c>
      <c r="C40" t="s">
        <v>210</v>
      </c>
      <c r="D40" s="26">
        <v>43374</v>
      </c>
      <c r="E40" s="26">
        <v>43738</v>
      </c>
      <c r="F40" s="27">
        <v>22</v>
      </c>
      <c r="G40" s="27">
        <v>7667</v>
      </c>
      <c r="H40" s="27">
        <f t="shared" si="0"/>
        <v>7667</v>
      </c>
      <c r="I40" s="28">
        <v>44409</v>
      </c>
      <c r="J40" s="20">
        <v>95.21</v>
      </c>
      <c r="K40" s="20">
        <v>97.825948409999995</v>
      </c>
      <c r="L40" s="20">
        <f t="shared" si="31"/>
        <v>0.39</v>
      </c>
      <c r="M40" s="20">
        <f t="shared" si="32"/>
        <v>3.11</v>
      </c>
      <c r="N40" s="20">
        <v>0</v>
      </c>
      <c r="O40" s="20">
        <f t="shared" si="42"/>
        <v>0.48</v>
      </c>
      <c r="P40" s="20">
        <f t="shared" si="51"/>
        <v>101.80594841</v>
      </c>
      <c r="Q40" s="20">
        <f t="shared" si="6"/>
        <v>-6.5959484100000054</v>
      </c>
      <c r="R40" s="21">
        <f t="shared" si="7"/>
        <v>98.033009489312889</v>
      </c>
      <c r="S40" s="24">
        <f t="shared" ref="S40:S71" si="54">R40-J40</f>
        <v>2.823009489312895</v>
      </c>
      <c r="T40" s="35">
        <f t="shared" si="8"/>
        <v>-3.7729389206871105</v>
      </c>
      <c r="U40" s="69">
        <f t="shared" si="9"/>
        <v>21644.01</v>
      </c>
      <c r="V40" s="24">
        <f t="shared" si="10"/>
        <v>-3.7729389206871105</v>
      </c>
      <c r="W40" s="62">
        <f t="shared" si="11"/>
        <v>28927.122704908077</v>
      </c>
      <c r="X40" s="68">
        <f t="shared" si="12"/>
        <v>28927.119999999999</v>
      </c>
      <c r="Y40" s="25">
        <f t="shared" ref="Y40:Y71" si="55">X40/H40</f>
        <v>3.7729385678883527</v>
      </c>
      <c r="Z40" s="67">
        <f t="shared" si="13"/>
        <v>101.81</v>
      </c>
      <c r="AA40" s="56">
        <f t="shared" ref="AA40:AA71" si="56">Z40-P40</f>
        <v>4.0515900000031024E-3</v>
      </c>
      <c r="AB40" s="74">
        <f t="shared" si="5"/>
        <v>50571.13</v>
      </c>
      <c r="AC40" s="74">
        <f t="shared" si="14"/>
        <v>12642.78</v>
      </c>
      <c r="AD40" s="74">
        <f t="shared" ref="AD40:AE40" si="57">+AC40</f>
        <v>12642.78</v>
      </c>
      <c r="AE40" s="74">
        <f t="shared" si="57"/>
        <v>12642.78</v>
      </c>
      <c r="AF40" s="74">
        <f t="shared" si="16"/>
        <v>12642.789999999994</v>
      </c>
    </row>
    <row r="41" spans="1:32" x14ac:dyDescent="0.35">
      <c r="A41" s="8" t="s">
        <v>77</v>
      </c>
      <c r="B41" t="s">
        <v>78</v>
      </c>
      <c r="C41" t="s">
        <v>211</v>
      </c>
      <c r="D41" s="26">
        <v>43374</v>
      </c>
      <c r="E41" s="26">
        <v>43738</v>
      </c>
      <c r="F41" s="27">
        <v>22</v>
      </c>
      <c r="G41" s="27">
        <v>7400</v>
      </c>
      <c r="H41" s="27">
        <f t="shared" si="0"/>
        <v>7400</v>
      </c>
      <c r="I41" s="28">
        <v>44409</v>
      </c>
      <c r="J41" s="20">
        <v>80.31</v>
      </c>
      <c r="K41" s="20">
        <v>80.500319880000006</v>
      </c>
      <c r="L41" s="20">
        <f t="shared" si="31"/>
        <v>0.32</v>
      </c>
      <c r="M41" s="20">
        <f t="shared" si="32"/>
        <v>2.56</v>
      </c>
      <c r="N41" s="20">
        <v>0.14000000000000001</v>
      </c>
      <c r="O41" s="20">
        <f t="shared" si="42"/>
        <v>0.39</v>
      </c>
      <c r="P41" s="20">
        <f t="shared" si="51"/>
        <v>83.910319880000003</v>
      </c>
      <c r="Q41" s="20">
        <f t="shared" si="6"/>
        <v>-3.6003198800000007</v>
      </c>
      <c r="R41" s="21">
        <f t="shared" si="7"/>
        <v>82.6912193266119</v>
      </c>
      <c r="S41" s="24">
        <f t="shared" si="54"/>
        <v>2.3812193266118982</v>
      </c>
      <c r="T41" s="35">
        <f t="shared" si="8"/>
        <v>-1.2191005533881025</v>
      </c>
      <c r="U41" s="69">
        <f t="shared" si="9"/>
        <v>17621.02</v>
      </c>
      <c r="V41" s="24">
        <f t="shared" si="10"/>
        <v>-1.2191005533881025</v>
      </c>
      <c r="W41" s="62">
        <f t="shared" si="11"/>
        <v>9021.3440950719596</v>
      </c>
      <c r="X41" s="68">
        <f t="shared" si="12"/>
        <v>9021.34</v>
      </c>
      <c r="Y41" s="25">
        <f t="shared" si="55"/>
        <v>1.2191000000000001</v>
      </c>
      <c r="Z41" s="67">
        <f t="shared" si="13"/>
        <v>83.91</v>
      </c>
      <c r="AA41" s="56">
        <f t="shared" si="56"/>
        <v>-3.198800000063784E-4</v>
      </c>
      <c r="AB41" s="74">
        <f t="shared" si="5"/>
        <v>26642.36</v>
      </c>
      <c r="AC41" s="74">
        <f t="shared" si="14"/>
        <v>6660.59</v>
      </c>
      <c r="AD41" s="74">
        <f t="shared" ref="AD41:AE41" si="58">+AC41</f>
        <v>6660.59</v>
      </c>
      <c r="AE41" s="74">
        <f t="shared" si="58"/>
        <v>6660.59</v>
      </c>
      <c r="AF41" s="74">
        <f t="shared" si="16"/>
        <v>6660.59</v>
      </c>
    </row>
    <row r="42" spans="1:32" x14ac:dyDescent="0.35">
      <c r="A42" s="8" t="s">
        <v>80</v>
      </c>
      <c r="B42" t="s">
        <v>81</v>
      </c>
      <c r="C42" t="s">
        <v>212</v>
      </c>
      <c r="D42" s="26">
        <v>43374</v>
      </c>
      <c r="E42" s="26">
        <v>43738</v>
      </c>
      <c r="F42" s="27">
        <v>20</v>
      </c>
      <c r="G42" s="27">
        <v>6919</v>
      </c>
      <c r="H42" s="27">
        <f t="shared" si="0"/>
        <v>6919</v>
      </c>
      <c r="I42" s="28">
        <v>44409</v>
      </c>
      <c r="J42" s="20">
        <v>98.28</v>
      </c>
      <c r="K42" s="20">
        <v>102.38624561</v>
      </c>
      <c r="L42" s="20">
        <f t="shared" si="31"/>
        <v>0.41</v>
      </c>
      <c r="M42" s="20">
        <f t="shared" si="32"/>
        <v>3.26</v>
      </c>
      <c r="N42" s="20">
        <v>0</v>
      </c>
      <c r="O42" s="20">
        <f t="shared" si="42"/>
        <v>0.5</v>
      </c>
      <c r="P42" s="20">
        <f t="shared" si="51"/>
        <v>106.55624561</v>
      </c>
      <c r="Q42" s="20">
        <f t="shared" ref="Q42:Q72" si="59">J42-P42</f>
        <v>-8.2762456100000037</v>
      </c>
      <c r="R42" s="21">
        <f t="shared" si="7"/>
        <v>101.19403605303719</v>
      </c>
      <c r="S42" s="24">
        <f t="shared" si="54"/>
        <v>2.9140360530371936</v>
      </c>
      <c r="T42" s="35">
        <f t="shared" si="8"/>
        <v>-5.3622095569628101</v>
      </c>
      <c r="U42" s="69">
        <f t="shared" si="9"/>
        <v>20162.22</v>
      </c>
      <c r="V42" s="24">
        <f t="shared" si="10"/>
        <v>-5.3622095569628101</v>
      </c>
      <c r="W42" s="62">
        <f t="shared" si="11"/>
        <v>37101.127924625682</v>
      </c>
      <c r="X42" s="68">
        <f t="shared" si="12"/>
        <v>37101.129999999997</v>
      </c>
      <c r="Y42" s="25">
        <f t="shared" si="55"/>
        <v>5.3622098569157393</v>
      </c>
      <c r="Z42" s="67">
        <f t="shared" si="13"/>
        <v>106.56</v>
      </c>
      <c r="AA42" s="56">
        <f t="shared" si="56"/>
        <v>3.7543899999974428E-3</v>
      </c>
      <c r="AB42" s="74">
        <f t="shared" si="5"/>
        <v>57263.35</v>
      </c>
      <c r="AC42" s="74">
        <f t="shared" si="14"/>
        <v>14315.84</v>
      </c>
      <c r="AD42" s="74">
        <f t="shared" ref="AD42:AE42" si="60">+AC42</f>
        <v>14315.84</v>
      </c>
      <c r="AE42" s="74">
        <f t="shared" si="60"/>
        <v>14315.84</v>
      </c>
      <c r="AF42" s="74">
        <f t="shared" si="16"/>
        <v>14315.829999999994</v>
      </c>
    </row>
    <row r="43" spans="1:32" x14ac:dyDescent="0.35">
      <c r="A43" s="8" t="s">
        <v>82</v>
      </c>
      <c r="B43" t="s">
        <v>83</v>
      </c>
      <c r="C43" t="s">
        <v>213</v>
      </c>
      <c r="D43" s="26">
        <v>43374</v>
      </c>
      <c r="E43" s="26">
        <v>43738</v>
      </c>
      <c r="F43" s="27">
        <v>58</v>
      </c>
      <c r="G43" s="27">
        <v>15028</v>
      </c>
      <c r="H43" s="27">
        <f t="shared" si="0"/>
        <v>15028</v>
      </c>
      <c r="I43" s="28">
        <v>44409</v>
      </c>
      <c r="J43" s="20">
        <v>82.56</v>
      </c>
      <c r="K43" s="20">
        <v>72.645194119999999</v>
      </c>
      <c r="L43" s="20">
        <f t="shared" si="31"/>
        <v>0.28999999999999998</v>
      </c>
      <c r="M43" s="20">
        <f t="shared" si="32"/>
        <v>2.31</v>
      </c>
      <c r="N43" s="20">
        <v>0.01</v>
      </c>
      <c r="O43" s="20">
        <f t="shared" si="42"/>
        <v>0.35</v>
      </c>
      <c r="P43" s="20">
        <f t="shared" si="51"/>
        <v>75.605194120000007</v>
      </c>
      <c r="Q43" s="20">
        <f t="shared" si="59"/>
        <v>6.954805879999995</v>
      </c>
      <c r="R43" s="21">
        <f t="shared" si="7"/>
        <v>85.007932606214396</v>
      </c>
      <c r="S43" s="24">
        <f t="shared" si="54"/>
        <v>2.447932606214394</v>
      </c>
      <c r="T43" s="35">
        <f t="shared" si="8"/>
        <v>9.402738486214389</v>
      </c>
      <c r="U43" s="69">
        <f t="shared" si="9"/>
        <v>36787.53</v>
      </c>
      <c r="V43" s="24">
        <f t="shared" si="10"/>
        <v>0</v>
      </c>
      <c r="W43" s="62">
        <f t="shared" si="11"/>
        <v>0</v>
      </c>
      <c r="X43" s="68">
        <f t="shared" si="12"/>
        <v>0</v>
      </c>
      <c r="Y43" s="25">
        <f t="shared" si="55"/>
        <v>0</v>
      </c>
      <c r="Z43" s="67">
        <f t="shared" si="13"/>
        <v>85.01</v>
      </c>
      <c r="AA43" s="56">
        <f t="shared" si="56"/>
        <v>9.4048058799999978</v>
      </c>
      <c r="AB43" s="74">
        <f t="shared" si="5"/>
        <v>36787.53</v>
      </c>
      <c r="AC43" s="74">
        <f t="shared" si="14"/>
        <v>9196.8799999999992</v>
      </c>
      <c r="AD43" s="74">
        <f t="shared" ref="AD43:AE43" si="61">+AC43</f>
        <v>9196.8799999999992</v>
      </c>
      <c r="AE43" s="74">
        <f t="shared" si="61"/>
        <v>9196.8799999999992</v>
      </c>
      <c r="AF43" s="74">
        <f t="shared" si="16"/>
        <v>9196.89</v>
      </c>
    </row>
    <row r="44" spans="1:32" x14ac:dyDescent="0.35">
      <c r="A44" s="8" t="s">
        <v>84</v>
      </c>
      <c r="B44" t="s">
        <v>85</v>
      </c>
      <c r="C44" t="s">
        <v>214</v>
      </c>
      <c r="D44" s="26">
        <v>43374</v>
      </c>
      <c r="E44" s="26">
        <v>43738</v>
      </c>
      <c r="F44" s="27">
        <v>20</v>
      </c>
      <c r="G44" s="27">
        <v>6837</v>
      </c>
      <c r="H44" s="27">
        <f t="shared" si="0"/>
        <v>6837</v>
      </c>
      <c r="I44" s="28">
        <v>44409</v>
      </c>
      <c r="J44" s="20">
        <v>125.27</v>
      </c>
      <c r="K44" s="20">
        <v>136.83848885</v>
      </c>
      <c r="L44" s="20">
        <f t="shared" si="31"/>
        <v>0.55000000000000004</v>
      </c>
      <c r="M44" s="20">
        <f t="shared" si="32"/>
        <v>4.3600000000000003</v>
      </c>
      <c r="N44" s="20">
        <v>0.12</v>
      </c>
      <c r="O44" s="20">
        <f t="shared" si="42"/>
        <v>0.67</v>
      </c>
      <c r="P44" s="20">
        <f t="shared" si="51"/>
        <v>142.53848885000002</v>
      </c>
      <c r="Q44" s="20">
        <f t="shared" si="59"/>
        <v>-17.268488850000026</v>
      </c>
      <c r="R44" s="21">
        <f t="shared" si="7"/>
        <v>128.9842989048023</v>
      </c>
      <c r="S44" s="24">
        <f t="shared" si="54"/>
        <v>3.7142989048023054</v>
      </c>
      <c r="T44" s="35">
        <f t="shared" si="8"/>
        <v>-13.55418994519772</v>
      </c>
      <c r="U44" s="69">
        <f t="shared" si="9"/>
        <v>25394.66</v>
      </c>
      <c r="V44" s="24">
        <f t="shared" si="10"/>
        <v>-13.55418994519772</v>
      </c>
      <c r="W44" s="62">
        <f t="shared" si="11"/>
        <v>61730.595612849334</v>
      </c>
      <c r="X44" s="68">
        <f t="shared" si="12"/>
        <v>61730.6</v>
      </c>
      <c r="Y44" s="25">
        <f t="shared" si="55"/>
        <v>9.0289015650138946</v>
      </c>
      <c r="Z44" s="67">
        <f t="shared" si="13"/>
        <v>138.01</v>
      </c>
      <c r="AA44" s="56">
        <f t="shared" si="56"/>
        <v>-4.5284888500000307</v>
      </c>
      <c r="AB44" s="74">
        <f t="shared" si="5"/>
        <v>87125.26</v>
      </c>
      <c r="AC44" s="74">
        <f t="shared" si="14"/>
        <v>21781.32</v>
      </c>
      <c r="AD44" s="74">
        <f t="shared" ref="AD44:AE44" si="62">+AC44</f>
        <v>21781.32</v>
      </c>
      <c r="AE44" s="74">
        <f t="shared" si="62"/>
        <v>21781.32</v>
      </c>
      <c r="AF44" s="74">
        <f t="shared" si="16"/>
        <v>21781.299999999996</v>
      </c>
    </row>
    <row r="45" spans="1:32" x14ac:dyDescent="0.35">
      <c r="A45" s="8" t="s">
        <v>86</v>
      </c>
      <c r="B45" t="s">
        <v>87</v>
      </c>
      <c r="C45" t="s">
        <v>215</v>
      </c>
      <c r="D45" s="26">
        <v>43374</v>
      </c>
      <c r="E45" s="26">
        <v>43738</v>
      </c>
      <c r="F45" s="27">
        <v>19</v>
      </c>
      <c r="G45" s="27">
        <v>6871</v>
      </c>
      <c r="H45" s="27">
        <f t="shared" si="0"/>
        <v>6871</v>
      </c>
      <c r="I45" s="28">
        <v>44409</v>
      </c>
      <c r="J45" s="20">
        <v>86.4</v>
      </c>
      <c r="K45" s="20">
        <v>88.259980979999995</v>
      </c>
      <c r="L45" s="20">
        <f t="shared" si="31"/>
        <v>0.35</v>
      </c>
      <c r="M45" s="20">
        <f t="shared" si="32"/>
        <v>2.81</v>
      </c>
      <c r="N45" s="20">
        <v>0.73</v>
      </c>
      <c r="O45" s="20">
        <f t="shared" si="42"/>
        <v>0.43</v>
      </c>
      <c r="P45" s="20">
        <f t="shared" si="51"/>
        <v>92.579980980000002</v>
      </c>
      <c r="Q45" s="20">
        <f t="shared" si="59"/>
        <v>-6.1799809799999963</v>
      </c>
      <c r="R45" s="21">
        <f t="shared" si="7"/>
        <v>88.961789936736011</v>
      </c>
      <c r="S45" s="24">
        <f t="shared" si="54"/>
        <v>2.5617899367360053</v>
      </c>
      <c r="T45" s="35">
        <f t="shared" si="8"/>
        <v>-3.618191043263991</v>
      </c>
      <c r="U45" s="69">
        <f t="shared" si="9"/>
        <v>17602.060000000001</v>
      </c>
      <c r="V45" s="24">
        <f t="shared" si="10"/>
        <v>-3.618191043263991</v>
      </c>
      <c r="W45" s="62">
        <f t="shared" si="11"/>
        <v>24860.590658266883</v>
      </c>
      <c r="X45" s="68">
        <f t="shared" si="12"/>
        <v>24860.59</v>
      </c>
      <c r="Y45" s="25">
        <f t="shared" si="55"/>
        <v>3.6181909474603406</v>
      </c>
      <c r="Z45" s="67">
        <f t="shared" si="13"/>
        <v>92.58</v>
      </c>
      <c r="AA45" s="56">
        <f t="shared" si="56"/>
        <v>1.9019999996316983E-5</v>
      </c>
      <c r="AB45" s="74">
        <f t="shared" si="5"/>
        <v>42462.65</v>
      </c>
      <c r="AC45" s="74">
        <f t="shared" si="14"/>
        <v>10615.66</v>
      </c>
      <c r="AD45" s="74">
        <f t="shared" ref="AD45:AE45" si="63">+AC45</f>
        <v>10615.66</v>
      </c>
      <c r="AE45" s="74">
        <f t="shared" si="63"/>
        <v>10615.66</v>
      </c>
      <c r="AF45" s="74">
        <f t="shared" si="16"/>
        <v>10615.670000000002</v>
      </c>
    </row>
    <row r="46" spans="1:32" x14ac:dyDescent="0.35">
      <c r="A46" s="8" t="s">
        <v>88</v>
      </c>
      <c r="B46" t="s">
        <v>89</v>
      </c>
      <c r="C46" t="s">
        <v>216</v>
      </c>
      <c r="D46" s="26">
        <v>43374</v>
      </c>
      <c r="E46" s="26">
        <v>43738</v>
      </c>
      <c r="F46" s="27">
        <v>36</v>
      </c>
      <c r="G46" s="27">
        <v>12541</v>
      </c>
      <c r="H46" s="27">
        <f t="shared" si="0"/>
        <v>12541</v>
      </c>
      <c r="I46" s="28">
        <v>44409</v>
      </c>
      <c r="J46" s="20">
        <v>75.59</v>
      </c>
      <c r="K46" s="20">
        <v>72.710482769999999</v>
      </c>
      <c r="L46" s="20">
        <f t="shared" si="31"/>
        <v>0.28999999999999998</v>
      </c>
      <c r="M46" s="20">
        <f t="shared" si="32"/>
        <v>2.31</v>
      </c>
      <c r="N46" s="20">
        <v>0</v>
      </c>
      <c r="O46" s="20">
        <f t="shared" si="42"/>
        <v>0.35</v>
      </c>
      <c r="P46" s="20">
        <f t="shared" si="51"/>
        <v>75.660482770000002</v>
      </c>
      <c r="Q46" s="20">
        <f t="shared" si="59"/>
        <v>-7.0482769999998141E-2</v>
      </c>
      <c r="R46" s="21">
        <f t="shared" si="7"/>
        <v>77.831269691179102</v>
      </c>
      <c r="S46" s="24">
        <f t="shared" si="54"/>
        <v>2.2412696911790988</v>
      </c>
      <c r="T46" s="35">
        <f t="shared" si="8"/>
        <v>2.1707869211791007</v>
      </c>
      <c r="U46" s="69">
        <f t="shared" si="9"/>
        <v>28107.759999999998</v>
      </c>
      <c r="V46" s="24">
        <f t="shared" si="10"/>
        <v>0</v>
      </c>
      <c r="W46" s="62">
        <f t="shared" si="11"/>
        <v>0</v>
      </c>
      <c r="X46" s="68">
        <f t="shared" si="12"/>
        <v>0</v>
      </c>
      <c r="Y46" s="25">
        <f t="shared" si="55"/>
        <v>0</v>
      </c>
      <c r="Z46" s="67">
        <f t="shared" si="13"/>
        <v>77.83</v>
      </c>
      <c r="AA46" s="56">
        <f t="shared" si="56"/>
        <v>2.1695172299999967</v>
      </c>
      <c r="AB46" s="74">
        <f t="shared" si="5"/>
        <v>28107.759999999998</v>
      </c>
      <c r="AC46" s="74">
        <f t="shared" si="14"/>
        <v>7026.94</v>
      </c>
      <c r="AD46" s="74">
        <f t="shared" ref="AD46:AE46" si="64">+AC46</f>
        <v>7026.94</v>
      </c>
      <c r="AE46" s="74">
        <f t="shared" si="64"/>
        <v>7026.94</v>
      </c>
      <c r="AF46" s="74">
        <f t="shared" si="16"/>
        <v>7026.9399999999987</v>
      </c>
    </row>
    <row r="47" spans="1:32" x14ac:dyDescent="0.35">
      <c r="A47" s="8" t="s">
        <v>90</v>
      </c>
      <c r="B47" t="s">
        <v>91</v>
      </c>
      <c r="C47" t="s">
        <v>217</v>
      </c>
      <c r="D47" s="26">
        <v>43374</v>
      </c>
      <c r="E47" s="26">
        <v>43738</v>
      </c>
      <c r="F47" s="27">
        <v>47</v>
      </c>
      <c r="G47" s="27">
        <v>13977</v>
      </c>
      <c r="H47" s="27">
        <f t="shared" si="0"/>
        <v>13977</v>
      </c>
      <c r="I47" s="28">
        <v>44409</v>
      </c>
      <c r="J47" s="20">
        <v>84</v>
      </c>
      <c r="K47" s="20">
        <v>83.1069526</v>
      </c>
      <c r="L47" s="20">
        <f t="shared" si="31"/>
        <v>0.33</v>
      </c>
      <c r="M47" s="20">
        <f t="shared" si="32"/>
        <v>2.64</v>
      </c>
      <c r="N47" s="20">
        <v>0</v>
      </c>
      <c r="O47" s="20">
        <f t="shared" si="42"/>
        <v>0.4</v>
      </c>
      <c r="P47" s="20">
        <f t="shared" si="51"/>
        <v>86.476952600000004</v>
      </c>
      <c r="Q47" s="20">
        <f t="shared" si="59"/>
        <v>-2.4769526000000042</v>
      </c>
      <c r="R47" s="21">
        <f t="shared" si="7"/>
        <v>86.490629105159996</v>
      </c>
      <c r="S47" s="24">
        <f t="shared" si="54"/>
        <v>2.4906291051599965</v>
      </c>
      <c r="T47" s="35">
        <f t="shared" si="8"/>
        <v>1.3676505159992303E-2</v>
      </c>
      <c r="U47" s="69">
        <f t="shared" si="9"/>
        <v>34811.519999999997</v>
      </c>
      <c r="V47" s="24">
        <f t="shared" si="10"/>
        <v>0</v>
      </c>
      <c r="W47" s="62">
        <f t="shared" si="11"/>
        <v>0</v>
      </c>
      <c r="X47" s="68">
        <f t="shared" si="12"/>
        <v>0</v>
      </c>
      <c r="Y47" s="25">
        <f t="shared" si="55"/>
        <v>0</v>
      </c>
      <c r="Z47" s="67">
        <f t="shared" si="13"/>
        <v>86.49</v>
      </c>
      <c r="AA47" s="56">
        <f t="shared" si="56"/>
        <v>1.3047399999990716E-2</v>
      </c>
      <c r="AB47" s="74">
        <f t="shared" si="5"/>
        <v>34811.519999999997</v>
      </c>
      <c r="AC47" s="74">
        <f t="shared" si="14"/>
        <v>8702.8799999999992</v>
      </c>
      <c r="AD47" s="74">
        <f t="shared" ref="AD47:AE47" si="65">+AC47</f>
        <v>8702.8799999999992</v>
      </c>
      <c r="AE47" s="74">
        <f t="shared" si="65"/>
        <v>8702.8799999999992</v>
      </c>
      <c r="AF47" s="74">
        <f t="shared" si="16"/>
        <v>8702.8799999999974</v>
      </c>
    </row>
    <row r="48" spans="1:32" x14ac:dyDescent="0.35">
      <c r="A48" s="8" t="s">
        <v>92</v>
      </c>
      <c r="B48" t="s">
        <v>93</v>
      </c>
      <c r="C48" t="s">
        <v>218</v>
      </c>
      <c r="D48" s="26">
        <v>43374</v>
      </c>
      <c r="E48" s="26">
        <v>43738</v>
      </c>
      <c r="F48" s="27">
        <v>24</v>
      </c>
      <c r="G48" s="27">
        <v>7798</v>
      </c>
      <c r="H48" s="27">
        <f t="shared" si="0"/>
        <v>7798</v>
      </c>
      <c r="I48" s="28">
        <v>44409</v>
      </c>
      <c r="J48" s="20">
        <v>89.26</v>
      </c>
      <c r="K48" s="20">
        <v>84.922409520000002</v>
      </c>
      <c r="L48" s="20">
        <f t="shared" si="31"/>
        <v>0.34</v>
      </c>
      <c r="M48" s="20">
        <f t="shared" si="32"/>
        <v>2.7</v>
      </c>
      <c r="N48" s="20">
        <v>0.3</v>
      </c>
      <c r="O48" s="20">
        <f t="shared" si="42"/>
        <v>0.41</v>
      </c>
      <c r="P48" s="20">
        <f t="shared" si="51"/>
        <v>88.672409520000002</v>
      </c>
      <c r="Q48" s="20">
        <f t="shared" si="59"/>
        <v>0.58759048000000291</v>
      </c>
      <c r="R48" s="21">
        <f t="shared" si="7"/>
        <v>91.906589927697397</v>
      </c>
      <c r="S48" s="24">
        <f t="shared" si="54"/>
        <v>2.6465899276973914</v>
      </c>
      <c r="T48" s="35">
        <f t="shared" si="8"/>
        <v>3.2341804076973943</v>
      </c>
      <c r="U48" s="69">
        <f t="shared" si="9"/>
        <v>20638.11</v>
      </c>
      <c r="V48" s="24">
        <f t="shared" si="10"/>
        <v>0</v>
      </c>
      <c r="W48" s="62">
        <f t="shared" si="11"/>
        <v>0</v>
      </c>
      <c r="X48" s="68">
        <f t="shared" si="12"/>
        <v>0</v>
      </c>
      <c r="Y48" s="25">
        <f t="shared" si="55"/>
        <v>0</v>
      </c>
      <c r="Z48" s="67">
        <f t="shared" si="13"/>
        <v>91.91</v>
      </c>
      <c r="AA48" s="56">
        <f t="shared" si="56"/>
        <v>3.2375904799999944</v>
      </c>
      <c r="AB48" s="74">
        <f t="shared" si="5"/>
        <v>20638.11</v>
      </c>
      <c r="AC48" s="74">
        <f t="shared" si="14"/>
        <v>5159.53</v>
      </c>
      <c r="AD48" s="74">
        <f t="shared" ref="AD48:AE48" si="66">+AC48</f>
        <v>5159.53</v>
      </c>
      <c r="AE48" s="74">
        <f t="shared" si="66"/>
        <v>5159.53</v>
      </c>
      <c r="AF48" s="74">
        <f t="shared" si="16"/>
        <v>5159.5200000000004</v>
      </c>
    </row>
    <row r="49" spans="1:32" x14ac:dyDescent="0.35">
      <c r="A49" s="8" t="s">
        <v>94</v>
      </c>
      <c r="B49" t="s">
        <v>95</v>
      </c>
      <c r="C49" t="s">
        <v>219</v>
      </c>
      <c r="D49" s="26">
        <v>43374</v>
      </c>
      <c r="E49" s="26">
        <v>43738</v>
      </c>
      <c r="F49" s="27">
        <v>16</v>
      </c>
      <c r="G49" s="27">
        <v>5533</v>
      </c>
      <c r="H49" s="27">
        <f t="shared" si="0"/>
        <v>5533</v>
      </c>
      <c r="I49" s="28">
        <v>44440</v>
      </c>
      <c r="J49" s="20">
        <v>89.16</v>
      </c>
      <c r="K49" s="20">
        <v>90.608476760000002</v>
      </c>
      <c r="L49" s="20">
        <f t="shared" si="31"/>
        <v>0.36</v>
      </c>
      <c r="M49" s="20">
        <f t="shared" si="32"/>
        <v>2.88</v>
      </c>
      <c r="N49" s="20">
        <v>0.65</v>
      </c>
      <c r="O49" s="20">
        <f t="shared" si="42"/>
        <v>0.44</v>
      </c>
      <c r="P49" s="20">
        <f t="shared" si="51"/>
        <v>94.93847676</v>
      </c>
      <c r="Q49" s="20">
        <f t="shared" si="59"/>
        <v>-5.7784767600000038</v>
      </c>
      <c r="R49" s="21">
        <f t="shared" si="7"/>
        <v>91.803624893048394</v>
      </c>
      <c r="S49" s="24">
        <f t="shared" si="54"/>
        <v>2.643624893048397</v>
      </c>
      <c r="T49" s="35">
        <f t="shared" si="8"/>
        <v>-3.1348518669516068</v>
      </c>
      <c r="U49" s="69">
        <f t="shared" si="9"/>
        <v>14627.18</v>
      </c>
      <c r="V49" s="24">
        <f t="shared" si="10"/>
        <v>-3.1348518669516068</v>
      </c>
      <c r="W49" s="62">
        <f t="shared" si="11"/>
        <v>17345.135379843239</v>
      </c>
      <c r="X49" s="68">
        <f t="shared" si="12"/>
        <v>17345.14</v>
      </c>
      <c r="Y49" s="25">
        <f t="shared" si="55"/>
        <v>3.1348527019699981</v>
      </c>
      <c r="Z49" s="67">
        <f t="shared" si="13"/>
        <v>94.94</v>
      </c>
      <c r="AA49" s="56">
        <f t="shared" si="56"/>
        <v>1.5232399999973723E-3</v>
      </c>
      <c r="AB49" s="74">
        <f t="shared" si="5"/>
        <v>31972.32</v>
      </c>
      <c r="AC49" s="74">
        <f t="shared" si="14"/>
        <v>7993.08</v>
      </c>
      <c r="AD49" s="74">
        <f t="shared" ref="AD49:AE49" si="67">+AC49</f>
        <v>7993.08</v>
      </c>
      <c r="AE49" s="74">
        <f t="shared" si="67"/>
        <v>7993.08</v>
      </c>
      <c r="AF49" s="74">
        <f t="shared" si="16"/>
        <v>7993.0800000000017</v>
      </c>
    </row>
    <row r="50" spans="1:32" x14ac:dyDescent="0.35">
      <c r="A50" s="8" t="s">
        <v>96</v>
      </c>
      <c r="B50" t="s">
        <v>97</v>
      </c>
      <c r="C50" t="s">
        <v>220</v>
      </c>
      <c r="D50" s="26">
        <v>43374</v>
      </c>
      <c r="E50" s="26">
        <v>43738</v>
      </c>
      <c r="F50" s="27">
        <v>26</v>
      </c>
      <c r="G50" s="27">
        <v>8553</v>
      </c>
      <c r="H50" s="27">
        <f t="shared" si="0"/>
        <v>8553</v>
      </c>
      <c r="I50" s="28">
        <v>44409</v>
      </c>
      <c r="J50" s="20">
        <v>141.9</v>
      </c>
      <c r="K50" s="20">
        <v>141.64935391</v>
      </c>
      <c r="L50" s="20">
        <f t="shared" si="31"/>
        <v>0.56999999999999995</v>
      </c>
      <c r="M50" s="20">
        <f t="shared" si="32"/>
        <v>4.51</v>
      </c>
      <c r="N50" s="20">
        <v>0.69</v>
      </c>
      <c r="O50" s="20">
        <f t="shared" si="42"/>
        <v>0.69</v>
      </c>
      <c r="P50" s="20">
        <f t="shared" si="51"/>
        <v>148.10935390999998</v>
      </c>
      <c r="Q50" s="20">
        <f t="shared" si="59"/>
        <v>-6.2093539099999759</v>
      </c>
      <c r="R50" s="21">
        <f t="shared" si="7"/>
        <v>146.10738416693101</v>
      </c>
      <c r="S50" s="24">
        <f t="shared" si="54"/>
        <v>4.207384166931007</v>
      </c>
      <c r="T50" s="35">
        <f t="shared" si="8"/>
        <v>-2.0019697430689689</v>
      </c>
      <c r="U50" s="69">
        <f t="shared" si="9"/>
        <v>35985.760000000002</v>
      </c>
      <c r="V50" s="24">
        <f t="shared" si="10"/>
        <v>-2.0019697430689689</v>
      </c>
      <c r="W50" s="62">
        <f t="shared" si="11"/>
        <v>17122.847212468892</v>
      </c>
      <c r="X50" s="68">
        <f t="shared" si="12"/>
        <v>17122.849999999999</v>
      </c>
      <c r="Y50" s="25">
        <f t="shared" si="55"/>
        <v>2.0019700689816435</v>
      </c>
      <c r="Z50" s="67">
        <f t="shared" si="13"/>
        <v>148.11000000000001</v>
      </c>
      <c r="AA50" s="56">
        <f t="shared" si="56"/>
        <v>6.46090000032018E-4</v>
      </c>
      <c r="AB50" s="74">
        <f t="shared" si="5"/>
        <v>53108.61</v>
      </c>
      <c r="AC50" s="74">
        <f t="shared" si="14"/>
        <v>13277.15</v>
      </c>
      <c r="AD50" s="74">
        <f t="shared" ref="AD50:AE50" si="68">+AC50</f>
        <v>13277.15</v>
      </c>
      <c r="AE50" s="74">
        <f t="shared" si="68"/>
        <v>13277.15</v>
      </c>
      <c r="AF50" s="74">
        <f t="shared" si="16"/>
        <v>13277.160000000003</v>
      </c>
    </row>
    <row r="51" spans="1:32" x14ac:dyDescent="0.35">
      <c r="A51" s="8" t="s">
        <v>98</v>
      </c>
      <c r="B51" t="s">
        <v>99</v>
      </c>
      <c r="C51" t="s">
        <v>221</v>
      </c>
      <c r="D51" s="26">
        <v>43374</v>
      </c>
      <c r="E51" s="26">
        <v>43738</v>
      </c>
      <c r="F51" s="27">
        <v>14</v>
      </c>
      <c r="G51" s="27">
        <v>3172</v>
      </c>
      <c r="H51" s="27">
        <f t="shared" si="0"/>
        <v>3172</v>
      </c>
      <c r="I51" s="28">
        <v>44409</v>
      </c>
      <c r="J51" s="20">
        <v>95.76</v>
      </c>
      <c r="K51" s="20">
        <v>90.333985720000001</v>
      </c>
      <c r="L51" s="20">
        <f t="shared" si="31"/>
        <v>0.36</v>
      </c>
      <c r="M51" s="20">
        <f t="shared" si="32"/>
        <v>2.87</v>
      </c>
      <c r="N51" s="20">
        <v>0.05</v>
      </c>
      <c r="O51" s="20">
        <f t="shared" si="42"/>
        <v>0.44</v>
      </c>
      <c r="P51" s="20">
        <f t="shared" si="51"/>
        <v>94.05398572</v>
      </c>
      <c r="Q51" s="20">
        <f t="shared" si="59"/>
        <v>1.7060142800000051</v>
      </c>
      <c r="R51" s="21">
        <f t="shared" si="7"/>
        <v>98.599317179882405</v>
      </c>
      <c r="S51" s="24">
        <f t="shared" si="54"/>
        <v>2.8393171798824</v>
      </c>
      <c r="T51" s="35">
        <f t="shared" si="8"/>
        <v>4.5453314598824051</v>
      </c>
      <c r="U51" s="69">
        <f t="shared" si="9"/>
        <v>9006.31</v>
      </c>
      <c r="V51" s="24">
        <f t="shared" si="10"/>
        <v>0</v>
      </c>
      <c r="W51" s="62">
        <f t="shared" si="11"/>
        <v>0</v>
      </c>
      <c r="X51" s="68">
        <f t="shared" si="12"/>
        <v>0</v>
      </c>
      <c r="Y51" s="25">
        <f t="shared" si="55"/>
        <v>0</v>
      </c>
      <c r="Z51" s="67">
        <f t="shared" si="13"/>
        <v>98.6</v>
      </c>
      <c r="AA51" s="56">
        <f t="shared" si="56"/>
        <v>4.5460142799999943</v>
      </c>
      <c r="AB51" s="74">
        <f t="shared" si="5"/>
        <v>9006.31</v>
      </c>
      <c r="AC51" s="74">
        <f t="shared" si="14"/>
        <v>2251.58</v>
      </c>
      <c r="AD51" s="74">
        <f t="shared" ref="AD51:AE51" si="69">+AC51</f>
        <v>2251.58</v>
      </c>
      <c r="AE51" s="74">
        <f t="shared" si="69"/>
        <v>2251.58</v>
      </c>
      <c r="AF51" s="74">
        <f t="shared" si="16"/>
        <v>2251.5699999999997</v>
      </c>
    </row>
    <row r="52" spans="1:32" x14ac:dyDescent="0.35">
      <c r="A52" s="8" t="s">
        <v>100</v>
      </c>
      <c r="B52" t="s">
        <v>101</v>
      </c>
      <c r="C52" t="s">
        <v>222</v>
      </c>
      <c r="D52" s="26">
        <v>43374</v>
      </c>
      <c r="E52" s="26">
        <v>43738</v>
      </c>
      <c r="F52" s="27">
        <v>19</v>
      </c>
      <c r="G52" s="27">
        <v>5714</v>
      </c>
      <c r="H52" s="27">
        <f t="shared" si="0"/>
        <v>5714</v>
      </c>
      <c r="I52" s="28">
        <v>44409</v>
      </c>
      <c r="J52" s="20">
        <v>129.69</v>
      </c>
      <c r="K52" s="20">
        <v>147.00137092</v>
      </c>
      <c r="L52" s="20">
        <f t="shared" si="31"/>
        <v>0.59</v>
      </c>
      <c r="M52" s="20">
        <f t="shared" si="32"/>
        <v>4.68</v>
      </c>
      <c r="N52" s="20">
        <v>1.96</v>
      </c>
      <c r="O52" s="20">
        <f t="shared" si="42"/>
        <v>0.72</v>
      </c>
      <c r="P52" s="20">
        <f t="shared" si="51"/>
        <v>154.95137092000002</v>
      </c>
      <c r="Q52" s="20">
        <f t="shared" si="59"/>
        <v>-25.261370920000019</v>
      </c>
      <c r="R52" s="21">
        <f t="shared" si="7"/>
        <v>133.53535343628809</v>
      </c>
      <c r="S52" s="24">
        <f t="shared" si="54"/>
        <v>3.845353436288093</v>
      </c>
      <c r="T52" s="35">
        <f t="shared" si="8"/>
        <v>-21.416017483711926</v>
      </c>
      <c r="U52" s="69">
        <f t="shared" si="9"/>
        <v>21972.35</v>
      </c>
      <c r="V52" s="24">
        <f t="shared" si="10"/>
        <v>-21.416017483711926</v>
      </c>
      <c r="W52" s="62">
        <f t="shared" si="11"/>
        <v>53411.47066744652</v>
      </c>
      <c r="X52" s="68">
        <f t="shared" si="12"/>
        <v>53411.47</v>
      </c>
      <c r="Y52" s="25">
        <f t="shared" si="55"/>
        <v>9.3474746237311876</v>
      </c>
      <c r="Z52" s="67">
        <f t="shared" si="13"/>
        <v>142.88</v>
      </c>
      <c r="AA52" s="56">
        <f t="shared" si="56"/>
        <v>-12.071370920000021</v>
      </c>
      <c r="AB52" s="74">
        <f t="shared" si="5"/>
        <v>75383.820000000007</v>
      </c>
      <c r="AC52" s="74">
        <f t="shared" si="14"/>
        <v>18845.96</v>
      </c>
      <c r="AD52" s="74">
        <f t="shared" ref="AD52:AE52" si="70">+AC52</f>
        <v>18845.96</v>
      </c>
      <c r="AE52" s="74">
        <f t="shared" si="70"/>
        <v>18845.96</v>
      </c>
      <c r="AF52" s="74">
        <f t="shared" si="16"/>
        <v>18845.94000000001</v>
      </c>
    </row>
    <row r="53" spans="1:32" x14ac:dyDescent="0.35">
      <c r="A53" s="8" t="s">
        <v>102</v>
      </c>
      <c r="B53" t="s">
        <v>103</v>
      </c>
      <c r="C53" t="s">
        <v>223</v>
      </c>
      <c r="D53" s="26">
        <v>43374</v>
      </c>
      <c r="E53" s="26">
        <v>43738</v>
      </c>
      <c r="F53" s="27">
        <v>30</v>
      </c>
      <c r="G53" s="27">
        <v>10283</v>
      </c>
      <c r="H53" s="27">
        <f t="shared" si="0"/>
        <v>10283</v>
      </c>
      <c r="I53" s="28">
        <v>44409</v>
      </c>
      <c r="J53" s="20">
        <v>158.49</v>
      </c>
      <c r="K53" s="20">
        <v>156.68350512999999</v>
      </c>
      <c r="L53" s="20">
        <f t="shared" si="31"/>
        <v>0.63</v>
      </c>
      <c r="M53" s="20">
        <f t="shared" si="32"/>
        <v>4.99</v>
      </c>
      <c r="N53" s="20">
        <v>0.13</v>
      </c>
      <c r="O53" s="20">
        <f t="shared" si="42"/>
        <v>0.76</v>
      </c>
      <c r="P53" s="20">
        <f t="shared" si="51"/>
        <v>163.19350512999998</v>
      </c>
      <c r="Q53" s="20">
        <f t="shared" si="59"/>
        <v>-4.7035051299999679</v>
      </c>
      <c r="R53" s="21">
        <f t="shared" si="7"/>
        <v>163.18928341520009</v>
      </c>
      <c r="S53" s="24">
        <f t="shared" si="54"/>
        <v>4.6992834152000853</v>
      </c>
      <c r="T53" s="35">
        <f t="shared" si="8"/>
        <v>-4.2217147998826476E-3</v>
      </c>
      <c r="U53" s="69">
        <f t="shared" si="9"/>
        <v>48322.73</v>
      </c>
      <c r="V53" s="24">
        <f t="shared" si="10"/>
        <v>-4.2217147998826476E-3</v>
      </c>
      <c r="W53" s="62">
        <f t="shared" si="11"/>
        <v>43.411893287193266</v>
      </c>
      <c r="X53" s="68">
        <f t="shared" si="12"/>
        <v>43.41</v>
      </c>
      <c r="Y53" s="25">
        <f t="shared" si="55"/>
        <v>4.2215306817076723E-3</v>
      </c>
      <c r="Z53" s="67">
        <f t="shared" si="13"/>
        <v>163.19</v>
      </c>
      <c r="AA53" s="56">
        <f t="shared" si="56"/>
        <v>-3.5051299999793173E-3</v>
      </c>
      <c r="AB53" s="74">
        <f t="shared" si="5"/>
        <v>48366.140000000007</v>
      </c>
      <c r="AC53" s="74">
        <f t="shared" si="14"/>
        <v>12091.54</v>
      </c>
      <c r="AD53" s="74">
        <f t="shared" ref="AD53:AE53" si="71">+AC53</f>
        <v>12091.54</v>
      </c>
      <c r="AE53" s="74">
        <f t="shared" si="71"/>
        <v>12091.54</v>
      </c>
      <c r="AF53" s="74">
        <f t="shared" si="16"/>
        <v>12091.520000000004</v>
      </c>
    </row>
    <row r="54" spans="1:32" x14ac:dyDescent="0.35">
      <c r="A54" s="8" t="s">
        <v>104</v>
      </c>
      <c r="B54" t="s">
        <v>105</v>
      </c>
      <c r="C54" t="s">
        <v>224</v>
      </c>
      <c r="D54" s="26">
        <v>43374</v>
      </c>
      <c r="E54" s="26">
        <v>43738</v>
      </c>
      <c r="F54" s="27">
        <v>22</v>
      </c>
      <c r="G54" s="27">
        <v>7518</v>
      </c>
      <c r="H54" s="27">
        <f t="shared" si="0"/>
        <v>7518</v>
      </c>
      <c r="I54" s="28">
        <v>44559</v>
      </c>
      <c r="J54" s="20">
        <v>84.97</v>
      </c>
      <c r="K54" s="20">
        <v>84.97</v>
      </c>
      <c r="L54" s="20" t="s">
        <v>269</v>
      </c>
      <c r="M54" s="20" t="s">
        <v>269</v>
      </c>
      <c r="N54" s="20" t="s">
        <v>269</v>
      </c>
      <c r="O54" s="20" t="s">
        <v>269</v>
      </c>
      <c r="P54" s="20">
        <f t="shared" si="51"/>
        <v>84.97</v>
      </c>
      <c r="Q54" s="20">
        <f t="shared" si="59"/>
        <v>0</v>
      </c>
      <c r="R54" s="21">
        <f t="shared" si="7"/>
        <v>87.489389941255297</v>
      </c>
      <c r="S54" s="24">
        <f t="shared" si="54"/>
        <v>2.519389941255298</v>
      </c>
      <c r="T54" s="35">
        <f t="shared" si="8"/>
        <v>2.519389941255298</v>
      </c>
      <c r="U54" s="69">
        <f t="shared" si="9"/>
        <v>18940.77</v>
      </c>
      <c r="V54" s="24">
        <f t="shared" si="10"/>
        <v>0</v>
      </c>
      <c r="W54" s="62">
        <f t="shared" si="11"/>
        <v>0</v>
      </c>
      <c r="X54" s="68">
        <f t="shared" si="12"/>
        <v>0</v>
      </c>
      <c r="Y54" s="48">
        <f t="shared" si="55"/>
        <v>0</v>
      </c>
      <c r="Z54" s="67">
        <f t="shared" si="13"/>
        <v>87.49</v>
      </c>
      <c r="AA54" s="56">
        <f t="shared" si="56"/>
        <v>2.519999999999996</v>
      </c>
      <c r="AB54" s="74">
        <f t="shared" si="5"/>
        <v>18940.77</v>
      </c>
      <c r="AC54" s="74">
        <f t="shared" si="14"/>
        <v>4735.1899999999996</v>
      </c>
      <c r="AD54" s="74">
        <f t="shared" ref="AD54:AE54" si="72">+AC54</f>
        <v>4735.1899999999996</v>
      </c>
      <c r="AE54" s="74">
        <f t="shared" si="72"/>
        <v>4735.1899999999996</v>
      </c>
      <c r="AF54" s="74">
        <f t="shared" si="16"/>
        <v>4735.2000000000007</v>
      </c>
    </row>
    <row r="55" spans="1:32" x14ac:dyDescent="0.35">
      <c r="A55" s="8" t="s">
        <v>106</v>
      </c>
      <c r="B55" t="s">
        <v>107</v>
      </c>
      <c r="C55" t="s">
        <v>225</v>
      </c>
      <c r="D55" s="26">
        <v>43374</v>
      </c>
      <c r="E55" s="26">
        <v>43738</v>
      </c>
      <c r="F55" s="27">
        <v>14</v>
      </c>
      <c r="G55" s="27">
        <v>3652</v>
      </c>
      <c r="H55" s="27">
        <f t="shared" si="0"/>
        <v>3652</v>
      </c>
      <c r="I55" s="28">
        <v>44409</v>
      </c>
      <c r="J55" s="20">
        <v>152.47</v>
      </c>
      <c r="K55" s="20">
        <v>134.79863147</v>
      </c>
      <c r="L55" s="20">
        <f t="shared" ref="L55:L61" si="73">ROUND(K55*0.004,2)</f>
        <v>0.54</v>
      </c>
      <c r="M55" s="20">
        <f t="shared" ref="M55:M61" si="74">ROUND((K55+L55)*0.0317,2)</f>
        <v>4.29</v>
      </c>
      <c r="N55" s="20">
        <v>1.1299999999999999</v>
      </c>
      <c r="O55" s="20">
        <f t="shared" ref="O55:O61" si="75">ROUND(SUM(K55:N55)*0.0047,2)</f>
        <v>0.66</v>
      </c>
      <c r="P55" s="20">
        <f t="shared" si="51"/>
        <v>141.41863146999998</v>
      </c>
      <c r="Q55" s="20">
        <f t="shared" si="59"/>
        <v>11.051368530000019</v>
      </c>
      <c r="R55" s="21">
        <f t="shared" si="7"/>
        <v>156.99078832933029</v>
      </c>
      <c r="S55" s="24">
        <f t="shared" si="54"/>
        <v>4.5207883293302871</v>
      </c>
      <c r="T55" s="35">
        <f t="shared" si="8"/>
        <v>15.572156859330306</v>
      </c>
      <c r="U55" s="69">
        <f t="shared" si="9"/>
        <v>16509.919999999998</v>
      </c>
      <c r="V55" s="24">
        <f t="shared" si="10"/>
        <v>0</v>
      </c>
      <c r="W55" s="62">
        <f t="shared" si="11"/>
        <v>0</v>
      </c>
      <c r="X55" s="68">
        <f t="shared" si="12"/>
        <v>0</v>
      </c>
      <c r="Y55" s="48">
        <f t="shared" si="55"/>
        <v>0</v>
      </c>
      <c r="Z55" s="67">
        <f t="shared" si="13"/>
        <v>156.99</v>
      </c>
      <c r="AA55" s="56">
        <f t="shared" si="56"/>
        <v>15.571368530000029</v>
      </c>
      <c r="AB55" s="74">
        <f t="shared" si="5"/>
        <v>16509.919999999998</v>
      </c>
      <c r="AC55" s="74">
        <f t="shared" si="14"/>
        <v>4127.4799999999996</v>
      </c>
      <c r="AD55" s="74">
        <f t="shared" ref="AD55:AE55" si="76">+AC55</f>
        <v>4127.4799999999996</v>
      </c>
      <c r="AE55" s="74">
        <f t="shared" si="76"/>
        <v>4127.4799999999996</v>
      </c>
      <c r="AF55" s="74">
        <f t="shared" si="16"/>
        <v>4127.4799999999996</v>
      </c>
    </row>
    <row r="56" spans="1:32" x14ac:dyDescent="0.35">
      <c r="A56" s="8" t="s">
        <v>108</v>
      </c>
      <c r="B56" t="s">
        <v>109</v>
      </c>
      <c r="C56" t="s">
        <v>226</v>
      </c>
      <c r="D56" s="26">
        <v>43374</v>
      </c>
      <c r="E56" s="26">
        <v>43738</v>
      </c>
      <c r="F56" s="27">
        <v>25</v>
      </c>
      <c r="G56" s="27">
        <v>3837</v>
      </c>
      <c r="H56" s="27">
        <f t="shared" si="0"/>
        <v>3837</v>
      </c>
      <c r="I56" s="28">
        <v>44409</v>
      </c>
      <c r="J56" s="20">
        <v>69.2</v>
      </c>
      <c r="K56" s="20">
        <v>75.014440359999995</v>
      </c>
      <c r="L56" s="20">
        <f t="shared" si="73"/>
        <v>0.3</v>
      </c>
      <c r="M56" s="20">
        <f t="shared" si="74"/>
        <v>2.39</v>
      </c>
      <c r="N56" s="20">
        <v>0</v>
      </c>
      <c r="O56" s="20">
        <f t="shared" si="75"/>
        <v>0.37</v>
      </c>
      <c r="P56" s="20">
        <f t="shared" si="51"/>
        <v>78.074440359999997</v>
      </c>
      <c r="Q56" s="20">
        <f t="shared" si="59"/>
        <v>-8.8744403599999941</v>
      </c>
      <c r="R56" s="21">
        <f t="shared" si="7"/>
        <v>71.251803977107997</v>
      </c>
      <c r="S56" s="24">
        <f t="shared" si="54"/>
        <v>2.0518039771079941</v>
      </c>
      <c r="T56" s="35">
        <f t="shared" si="8"/>
        <v>-6.822636382892</v>
      </c>
      <c r="U56" s="69">
        <f t="shared" si="9"/>
        <v>7872.77</v>
      </c>
      <c r="V56" s="24">
        <f t="shared" si="10"/>
        <v>-6.822636382892</v>
      </c>
      <c r="W56" s="62">
        <f t="shared" si="11"/>
        <v>19137.522030211439</v>
      </c>
      <c r="X56" s="68">
        <f t="shared" si="12"/>
        <v>19137.52</v>
      </c>
      <c r="Y56" s="48">
        <f t="shared" si="55"/>
        <v>4.9876257492832945</v>
      </c>
      <c r="Z56" s="67">
        <f t="shared" si="13"/>
        <v>76.239999999999995</v>
      </c>
      <c r="AA56" s="56">
        <f t="shared" si="56"/>
        <v>-1.8344403600000021</v>
      </c>
      <c r="AB56" s="74">
        <f t="shared" si="5"/>
        <v>27010.29</v>
      </c>
      <c r="AC56" s="74">
        <f t="shared" si="14"/>
        <v>6752.57</v>
      </c>
      <c r="AD56" s="74">
        <f t="shared" ref="AD56:AE56" si="77">+AC56</f>
        <v>6752.57</v>
      </c>
      <c r="AE56" s="74">
        <f t="shared" si="77"/>
        <v>6752.57</v>
      </c>
      <c r="AF56" s="74">
        <f t="shared" si="16"/>
        <v>6752.5800000000017</v>
      </c>
    </row>
    <row r="57" spans="1:32" x14ac:dyDescent="0.35">
      <c r="A57" s="8" t="s">
        <v>110</v>
      </c>
      <c r="B57" t="s">
        <v>111</v>
      </c>
      <c r="C57" t="s">
        <v>227</v>
      </c>
      <c r="D57" s="26">
        <v>43374</v>
      </c>
      <c r="E57" s="26">
        <v>43738</v>
      </c>
      <c r="F57" s="27">
        <v>45</v>
      </c>
      <c r="G57" s="27">
        <v>13009</v>
      </c>
      <c r="H57" s="27">
        <f t="shared" si="0"/>
        <v>13009</v>
      </c>
      <c r="I57" s="28">
        <v>44409</v>
      </c>
      <c r="J57" s="20">
        <v>144.56</v>
      </c>
      <c r="K57" s="20">
        <v>130.74199149</v>
      </c>
      <c r="L57" s="20">
        <f t="shared" si="73"/>
        <v>0.52</v>
      </c>
      <c r="M57" s="20">
        <f t="shared" si="74"/>
        <v>4.16</v>
      </c>
      <c r="N57" s="20">
        <v>0.04</v>
      </c>
      <c r="O57" s="20">
        <f t="shared" si="75"/>
        <v>0.64</v>
      </c>
      <c r="P57" s="20">
        <f t="shared" si="51"/>
        <v>136.10199148999999</v>
      </c>
      <c r="Q57" s="20">
        <f t="shared" si="59"/>
        <v>8.4580085100000133</v>
      </c>
      <c r="R57" s="21">
        <f t="shared" si="7"/>
        <v>148.84625408859441</v>
      </c>
      <c r="S57" s="24">
        <f t="shared" si="54"/>
        <v>4.2862540885944043</v>
      </c>
      <c r="T57" s="35">
        <f t="shared" si="8"/>
        <v>12.744262598594418</v>
      </c>
      <c r="U57" s="69">
        <f t="shared" si="9"/>
        <v>55759.88</v>
      </c>
      <c r="V57" s="24">
        <f t="shared" si="10"/>
        <v>0</v>
      </c>
      <c r="W57" s="62">
        <f t="shared" si="11"/>
        <v>0</v>
      </c>
      <c r="X57" s="68">
        <f t="shared" si="12"/>
        <v>0</v>
      </c>
      <c r="Y57" s="48">
        <f t="shared" si="55"/>
        <v>0</v>
      </c>
      <c r="Z57" s="67">
        <f t="shared" si="13"/>
        <v>148.85</v>
      </c>
      <c r="AA57" s="56">
        <f t="shared" si="56"/>
        <v>12.748008510000005</v>
      </c>
      <c r="AB57" s="74">
        <f t="shared" si="5"/>
        <v>55759.88</v>
      </c>
      <c r="AC57" s="74">
        <f t="shared" si="14"/>
        <v>13939.97</v>
      </c>
      <c r="AD57" s="74">
        <f t="shared" ref="AD57:AE57" si="78">+AC57</f>
        <v>13939.97</v>
      </c>
      <c r="AE57" s="74">
        <f t="shared" si="78"/>
        <v>13939.97</v>
      </c>
      <c r="AF57" s="74">
        <f t="shared" si="16"/>
        <v>13939.970000000001</v>
      </c>
    </row>
    <row r="58" spans="1:32" x14ac:dyDescent="0.35">
      <c r="A58" s="8" t="s">
        <v>112</v>
      </c>
      <c r="B58" t="s">
        <v>113</v>
      </c>
      <c r="C58" t="s">
        <v>228</v>
      </c>
      <c r="D58" s="26">
        <v>43374</v>
      </c>
      <c r="E58" s="26">
        <v>43738</v>
      </c>
      <c r="F58" s="27">
        <v>86</v>
      </c>
      <c r="G58" s="27">
        <v>26931</v>
      </c>
      <c r="H58" s="27">
        <f t="shared" si="0"/>
        <v>26931</v>
      </c>
      <c r="I58" s="28">
        <v>44409</v>
      </c>
      <c r="J58" s="20">
        <v>125.33</v>
      </c>
      <c r="K58" s="20">
        <v>142.25220006000001</v>
      </c>
      <c r="L58" s="20">
        <f t="shared" si="73"/>
        <v>0.56999999999999995</v>
      </c>
      <c r="M58" s="20">
        <f t="shared" si="74"/>
        <v>4.53</v>
      </c>
      <c r="N58" s="20">
        <v>0.27</v>
      </c>
      <c r="O58" s="20">
        <f t="shared" si="75"/>
        <v>0.69</v>
      </c>
      <c r="P58" s="20">
        <f t="shared" si="51"/>
        <v>148.31220006000001</v>
      </c>
      <c r="Q58" s="20">
        <f t="shared" si="59"/>
        <v>-22.982200060000011</v>
      </c>
      <c r="R58" s="21">
        <f t="shared" si="7"/>
        <v>129.0460779255917</v>
      </c>
      <c r="S58" s="24">
        <f t="shared" si="54"/>
        <v>3.7160779255917049</v>
      </c>
      <c r="T58" s="35">
        <f t="shared" si="8"/>
        <v>-19.266122134408306</v>
      </c>
      <c r="U58" s="69">
        <f t="shared" si="9"/>
        <v>100077.69</v>
      </c>
      <c r="V58" s="24">
        <f t="shared" si="10"/>
        <v>-19.266122134408306</v>
      </c>
      <c r="W58" s="62">
        <f t="shared" si="11"/>
        <v>243273.79472298775</v>
      </c>
      <c r="X58" s="68">
        <f t="shared" si="12"/>
        <v>243273.79</v>
      </c>
      <c r="Y58" s="48">
        <f t="shared" si="55"/>
        <v>9.0332252794177723</v>
      </c>
      <c r="Z58" s="67">
        <f t="shared" si="13"/>
        <v>138.08000000000001</v>
      </c>
      <c r="AA58" s="56">
        <f t="shared" si="56"/>
        <v>-10.232200059999997</v>
      </c>
      <c r="AB58" s="74">
        <f t="shared" si="5"/>
        <v>343351.48</v>
      </c>
      <c r="AC58" s="74">
        <f t="shared" si="14"/>
        <v>85837.87</v>
      </c>
      <c r="AD58" s="74">
        <f t="shared" ref="AD58:AE58" si="79">+AC58</f>
        <v>85837.87</v>
      </c>
      <c r="AE58" s="74">
        <f t="shared" si="79"/>
        <v>85837.87</v>
      </c>
      <c r="AF58" s="74">
        <f t="shared" si="16"/>
        <v>85837.87</v>
      </c>
    </row>
    <row r="59" spans="1:32" x14ac:dyDescent="0.35">
      <c r="A59" s="8" t="s">
        <v>114</v>
      </c>
      <c r="B59" t="s">
        <v>115</v>
      </c>
      <c r="C59" t="s">
        <v>229</v>
      </c>
      <c r="D59" s="26">
        <v>43374</v>
      </c>
      <c r="E59" s="26">
        <v>43738</v>
      </c>
      <c r="F59" s="27">
        <v>19</v>
      </c>
      <c r="G59" s="27">
        <v>6689</v>
      </c>
      <c r="H59" s="27">
        <f t="shared" si="0"/>
        <v>6689</v>
      </c>
      <c r="I59" s="28">
        <v>44409</v>
      </c>
      <c r="J59" s="20">
        <v>95.37</v>
      </c>
      <c r="K59" s="20">
        <v>89.531954080000006</v>
      </c>
      <c r="L59" s="20">
        <f t="shared" si="73"/>
        <v>0.36</v>
      </c>
      <c r="M59" s="20">
        <f t="shared" si="74"/>
        <v>2.85</v>
      </c>
      <c r="N59" s="20">
        <v>0.97</v>
      </c>
      <c r="O59" s="20">
        <f t="shared" si="75"/>
        <v>0.44</v>
      </c>
      <c r="P59" s="20">
        <f t="shared" si="51"/>
        <v>94.151954079999996</v>
      </c>
      <c r="Q59" s="20">
        <f t="shared" si="59"/>
        <v>1.2180459200000087</v>
      </c>
      <c r="R59" s="21">
        <f t="shared" si="7"/>
        <v>98.197753544751308</v>
      </c>
      <c r="S59" s="24">
        <f t="shared" si="54"/>
        <v>2.8277535447513031</v>
      </c>
      <c r="T59" s="35">
        <f t="shared" si="8"/>
        <v>4.0457994647513118</v>
      </c>
      <c r="U59" s="69">
        <f t="shared" si="9"/>
        <v>18914.84</v>
      </c>
      <c r="V59" s="24">
        <f t="shared" si="10"/>
        <v>0</v>
      </c>
      <c r="W59" s="62">
        <f t="shared" si="11"/>
        <v>0</v>
      </c>
      <c r="X59" s="68">
        <f t="shared" si="12"/>
        <v>0</v>
      </c>
      <c r="Y59" s="48">
        <f t="shared" si="55"/>
        <v>0</v>
      </c>
      <c r="Z59" s="67">
        <f t="shared" si="13"/>
        <v>98.2</v>
      </c>
      <c r="AA59" s="56">
        <f t="shared" si="56"/>
        <v>4.048045920000007</v>
      </c>
      <c r="AB59" s="74">
        <f t="shared" si="5"/>
        <v>18914.84</v>
      </c>
      <c r="AC59" s="74">
        <f t="shared" si="14"/>
        <v>4728.71</v>
      </c>
      <c r="AD59" s="74">
        <f t="shared" ref="AD59:AE59" si="80">+AC59</f>
        <v>4728.71</v>
      </c>
      <c r="AE59" s="74">
        <f t="shared" si="80"/>
        <v>4728.71</v>
      </c>
      <c r="AF59" s="74">
        <f t="shared" si="16"/>
        <v>4728.7099999999991</v>
      </c>
    </row>
    <row r="60" spans="1:32" x14ac:dyDescent="0.35">
      <c r="A60" s="8" t="s">
        <v>116</v>
      </c>
      <c r="B60" t="s">
        <v>117</v>
      </c>
      <c r="C60" t="s">
        <v>230</v>
      </c>
      <c r="D60" s="26">
        <v>43374</v>
      </c>
      <c r="E60" s="26">
        <v>43738</v>
      </c>
      <c r="F60" s="27">
        <v>3</v>
      </c>
      <c r="G60" s="27">
        <v>579</v>
      </c>
      <c r="H60" s="27">
        <f t="shared" si="0"/>
        <v>579</v>
      </c>
      <c r="I60" s="28">
        <v>44409</v>
      </c>
      <c r="J60" s="20">
        <v>146.44</v>
      </c>
      <c r="K60" s="20">
        <v>126.91997209</v>
      </c>
      <c r="L60" s="20">
        <f t="shared" si="73"/>
        <v>0.51</v>
      </c>
      <c r="M60" s="20">
        <f t="shared" si="74"/>
        <v>4.04</v>
      </c>
      <c r="N60" s="20">
        <v>0</v>
      </c>
      <c r="O60" s="20">
        <f t="shared" si="75"/>
        <v>0.62</v>
      </c>
      <c r="P60" s="20">
        <f t="shared" si="51"/>
        <v>132.08997209</v>
      </c>
      <c r="Q60" s="20">
        <f t="shared" si="59"/>
        <v>14.350027909999994</v>
      </c>
      <c r="R60" s="21">
        <f t="shared" si="7"/>
        <v>150.78199673999561</v>
      </c>
      <c r="S60" s="24">
        <f t="shared" si="54"/>
        <v>4.3419967399956079</v>
      </c>
      <c r="T60" s="35">
        <f t="shared" si="8"/>
        <v>18.692024649995602</v>
      </c>
      <c r="U60" s="69">
        <f t="shared" si="9"/>
        <v>2514.02</v>
      </c>
      <c r="V60" s="24">
        <f t="shared" si="10"/>
        <v>0</v>
      </c>
      <c r="W60" s="62">
        <f t="shared" si="11"/>
        <v>0</v>
      </c>
      <c r="X60" s="68">
        <f t="shared" si="12"/>
        <v>0</v>
      </c>
      <c r="Y60" s="48">
        <f t="shared" si="55"/>
        <v>0</v>
      </c>
      <c r="Z60" s="67">
        <f t="shared" si="13"/>
        <v>150.78</v>
      </c>
      <c r="AA60" s="56">
        <f t="shared" si="56"/>
        <v>18.690027909999998</v>
      </c>
      <c r="AB60" s="74">
        <f t="shared" si="5"/>
        <v>2514.02</v>
      </c>
      <c r="AC60" s="74">
        <f t="shared" si="14"/>
        <v>628.51</v>
      </c>
      <c r="AD60" s="74">
        <f t="shared" ref="AD60:AE60" si="81">+AC60</f>
        <v>628.51</v>
      </c>
      <c r="AE60" s="74">
        <f t="shared" si="81"/>
        <v>628.51</v>
      </c>
      <c r="AF60" s="74">
        <f t="shared" si="16"/>
        <v>628.49</v>
      </c>
    </row>
    <row r="61" spans="1:32" x14ac:dyDescent="0.35">
      <c r="A61" s="8" t="s">
        <v>118</v>
      </c>
      <c r="B61" t="s">
        <v>119</v>
      </c>
      <c r="C61" t="s">
        <v>231</v>
      </c>
      <c r="D61" s="26">
        <v>43374</v>
      </c>
      <c r="E61" s="26">
        <v>43738</v>
      </c>
      <c r="F61" s="27">
        <v>18</v>
      </c>
      <c r="G61" s="27">
        <v>5049</v>
      </c>
      <c r="H61" s="27">
        <f t="shared" si="0"/>
        <v>5049</v>
      </c>
      <c r="I61" s="28">
        <v>44409</v>
      </c>
      <c r="J61" s="20">
        <v>90.03</v>
      </c>
      <c r="K61" s="20">
        <v>85.928985490000002</v>
      </c>
      <c r="L61" s="20">
        <f t="shared" si="73"/>
        <v>0.34</v>
      </c>
      <c r="M61" s="20">
        <f t="shared" si="74"/>
        <v>2.73</v>
      </c>
      <c r="N61" s="20">
        <v>0</v>
      </c>
      <c r="O61" s="20">
        <f t="shared" si="75"/>
        <v>0.42</v>
      </c>
      <c r="P61" s="20">
        <f t="shared" si="51"/>
        <v>89.418985490000011</v>
      </c>
      <c r="Q61" s="20">
        <f t="shared" si="59"/>
        <v>0.61101450999998974</v>
      </c>
      <c r="R61" s="21">
        <f t="shared" si="7"/>
        <v>92.699420694494705</v>
      </c>
      <c r="S61" s="24">
        <f t="shared" si="54"/>
        <v>2.6694206944947041</v>
      </c>
      <c r="T61" s="35">
        <f t="shared" si="8"/>
        <v>3.2804352044946938</v>
      </c>
      <c r="U61" s="69">
        <f t="shared" si="9"/>
        <v>13477.91</v>
      </c>
      <c r="V61" s="24">
        <f t="shared" si="10"/>
        <v>0</v>
      </c>
      <c r="W61" s="62">
        <f t="shared" si="11"/>
        <v>0</v>
      </c>
      <c r="X61" s="68">
        <f t="shared" si="12"/>
        <v>0</v>
      </c>
      <c r="Y61" s="48">
        <f t="shared" si="55"/>
        <v>0</v>
      </c>
      <c r="Z61" s="67">
        <f t="shared" si="13"/>
        <v>92.7</v>
      </c>
      <c r="AA61" s="56">
        <f t="shared" si="56"/>
        <v>3.2810145099999914</v>
      </c>
      <c r="AB61" s="74">
        <f t="shared" si="5"/>
        <v>13477.91</v>
      </c>
      <c r="AC61" s="74">
        <f t="shared" si="14"/>
        <v>3369.48</v>
      </c>
      <c r="AD61" s="74">
        <f t="shared" ref="AD61:AE61" si="82">+AC61</f>
        <v>3369.48</v>
      </c>
      <c r="AE61" s="74">
        <f t="shared" si="82"/>
        <v>3369.48</v>
      </c>
      <c r="AF61" s="74">
        <f t="shared" si="16"/>
        <v>3369.4699999999993</v>
      </c>
    </row>
    <row r="62" spans="1:32" x14ac:dyDescent="0.35">
      <c r="A62" s="8" t="s">
        <v>121</v>
      </c>
      <c r="B62" t="s">
        <v>122</v>
      </c>
      <c r="C62" t="s">
        <v>232</v>
      </c>
      <c r="D62" s="26">
        <v>43374</v>
      </c>
      <c r="E62" s="26">
        <v>43738</v>
      </c>
      <c r="F62" s="27">
        <v>29</v>
      </c>
      <c r="G62" s="27">
        <v>9341</v>
      </c>
      <c r="H62" s="27">
        <f t="shared" si="0"/>
        <v>9341</v>
      </c>
      <c r="I62" s="28">
        <v>44518</v>
      </c>
      <c r="J62" s="20">
        <v>98.97</v>
      </c>
      <c r="K62" s="20">
        <v>98.97</v>
      </c>
      <c r="L62" s="20" t="s">
        <v>269</v>
      </c>
      <c r="M62" s="20" t="s">
        <v>269</v>
      </c>
      <c r="N62" s="20" t="s">
        <v>269</v>
      </c>
      <c r="O62" s="20" t="s">
        <v>269</v>
      </c>
      <c r="P62" s="20">
        <f t="shared" si="51"/>
        <v>98.97</v>
      </c>
      <c r="Q62" s="20">
        <f t="shared" si="59"/>
        <v>0</v>
      </c>
      <c r="R62" s="21">
        <f t="shared" si="7"/>
        <v>101.9044947921153</v>
      </c>
      <c r="S62" s="24">
        <f t="shared" si="54"/>
        <v>2.9344947921153022</v>
      </c>
      <c r="T62" s="35">
        <f t="shared" si="8"/>
        <v>2.9344947921153022</v>
      </c>
      <c r="U62" s="69">
        <f t="shared" si="9"/>
        <v>27411.119999999999</v>
      </c>
      <c r="V62" s="24">
        <f t="shared" si="10"/>
        <v>0</v>
      </c>
      <c r="W62" s="62">
        <f t="shared" si="11"/>
        <v>0</v>
      </c>
      <c r="X62" s="68">
        <f t="shared" si="12"/>
        <v>0</v>
      </c>
      <c r="Y62" s="48">
        <f t="shared" si="55"/>
        <v>0</v>
      </c>
      <c r="Z62" s="67">
        <f t="shared" si="13"/>
        <v>101.9</v>
      </c>
      <c r="AA62" s="56">
        <f t="shared" si="56"/>
        <v>2.9300000000000068</v>
      </c>
      <c r="AB62" s="74">
        <f t="shared" si="5"/>
        <v>27411.119999999999</v>
      </c>
      <c r="AC62" s="74">
        <f t="shared" si="14"/>
        <v>6852.78</v>
      </c>
      <c r="AD62" s="74">
        <f t="shared" ref="AD62:AE62" si="83">+AC62</f>
        <v>6852.78</v>
      </c>
      <c r="AE62" s="74">
        <f t="shared" si="83"/>
        <v>6852.78</v>
      </c>
      <c r="AF62" s="74">
        <f t="shared" si="16"/>
        <v>6852.7799999999988</v>
      </c>
    </row>
    <row r="63" spans="1:32" s="1" customFormat="1" x14ac:dyDescent="0.35">
      <c r="A63" s="8" t="s">
        <v>123</v>
      </c>
      <c r="B63" t="s">
        <v>124</v>
      </c>
      <c r="C63" t="s">
        <v>233</v>
      </c>
      <c r="D63" s="26">
        <v>43374</v>
      </c>
      <c r="E63" s="26">
        <v>43738</v>
      </c>
      <c r="F63" s="27">
        <v>19</v>
      </c>
      <c r="G63" s="27">
        <v>2442</v>
      </c>
      <c r="H63" s="27">
        <f t="shared" si="0"/>
        <v>2442</v>
      </c>
      <c r="I63" s="28">
        <v>44409</v>
      </c>
      <c r="J63" s="20">
        <v>148.94</v>
      </c>
      <c r="K63" s="20">
        <v>146.90111714</v>
      </c>
      <c r="L63" s="20">
        <f t="shared" ref="L63:L89" si="84">ROUND(K63*0.004,2)</f>
        <v>0.59</v>
      </c>
      <c r="M63" s="20">
        <f t="shared" ref="M63:M89" si="85">ROUND((K63+L63)*0.0317,2)</f>
        <v>4.68</v>
      </c>
      <c r="N63" s="20">
        <v>0.25</v>
      </c>
      <c r="O63" s="20">
        <f>ROUND(SUM(K63:N63)*0.0047,2)</f>
        <v>0.72</v>
      </c>
      <c r="P63" s="20">
        <f t="shared" si="51"/>
        <v>153.14111714000001</v>
      </c>
      <c r="Q63" s="20">
        <f t="shared" si="59"/>
        <v>-4.201117140000008</v>
      </c>
      <c r="R63" s="21">
        <f t="shared" si="7"/>
        <v>153.35612260622059</v>
      </c>
      <c r="S63" s="24">
        <f t="shared" si="54"/>
        <v>4.4161226062205969</v>
      </c>
      <c r="T63" s="35">
        <f t="shared" si="8"/>
        <v>0.21500546622058891</v>
      </c>
      <c r="U63" s="69">
        <f t="shared" si="9"/>
        <v>10784.17</v>
      </c>
      <c r="V63" s="24">
        <f t="shared" si="10"/>
        <v>0</v>
      </c>
      <c r="W63" s="62">
        <f t="shared" si="11"/>
        <v>0</v>
      </c>
      <c r="X63" s="68">
        <f t="shared" si="12"/>
        <v>0</v>
      </c>
      <c r="Y63" s="48">
        <f t="shared" si="55"/>
        <v>0</v>
      </c>
      <c r="Z63" s="67">
        <f t="shared" si="13"/>
        <v>153.36000000000001</v>
      </c>
      <c r="AA63" s="56">
        <f t="shared" si="56"/>
        <v>0.21888286000000789</v>
      </c>
      <c r="AB63" s="74">
        <f t="shared" si="5"/>
        <v>10784.17</v>
      </c>
      <c r="AC63" s="74">
        <f t="shared" si="14"/>
        <v>2696.04</v>
      </c>
      <c r="AD63" s="74">
        <f t="shared" ref="AD63:AE63" si="86">+AC63</f>
        <v>2696.04</v>
      </c>
      <c r="AE63" s="74">
        <f t="shared" si="86"/>
        <v>2696.04</v>
      </c>
      <c r="AF63" s="74">
        <f t="shared" si="16"/>
        <v>2696.05</v>
      </c>
    </row>
    <row r="64" spans="1:32" x14ac:dyDescent="0.35">
      <c r="A64" s="8" t="s">
        <v>125</v>
      </c>
      <c r="B64" t="s">
        <v>126</v>
      </c>
      <c r="C64" t="s">
        <v>234</v>
      </c>
      <c r="D64" s="26">
        <v>43374</v>
      </c>
      <c r="E64" s="26">
        <v>43738</v>
      </c>
      <c r="F64" s="27">
        <v>15</v>
      </c>
      <c r="G64" s="27">
        <v>5475</v>
      </c>
      <c r="H64" s="27">
        <f t="shared" si="0"/>
        <v>5475</v>
      </c>
      <c r="I64" s="28">
        <v>44409</v>
      </c>
      <c r="J64" s="20">
        <v>104.32</v>
      </c>
      <c r="K64" s="20">
        <v>105.7182574</v>
      </c>
      <c r="L64" s="20">
        <f t="shared" si="84"/>
        <v>0.42</v>
      </c>
      <c r="M64" s="20">
        <f t="shared" si="85"/>
        <v>3.36</v>
      </c>
      <c r="N64" s="20">
        <v>0.25</v>
      </c>
      <c r="O64" s="20">
        <f t="shared" ref="O64:O81" si="87">ROUND(SUM(K64:N64)*0.0047,2)</f>
        <v>0.52</v>
      </c>
      <c r="P64" s="20">
        <f t="shared" si="51"/>
        <v>110.2682574</v>
      </c>
      <c r="Q64" s="20">
        <f t="shared" si="59"/>
        <v>-5.9482574000000028</v>
      </c>
      <c r="R64" s="21">
        <f t="shared" si="7"/>
        <v>107.41312414583679</v>
      </c>
      <c r="S64" s="24">
        <f t="shared" si="54"/>
        <v>3.0931241458367964</v>
      </c>
      <c r="T64" s="35">
        <f t="shared" si="8"/>
        <v>-2.8551332541632064</v>
      </c>
      <c r="U64" s="69">
        <f t="shared" si="9"/>
        <v>16934.849999999999</v>
      </c>
      <c r="V64" s="24">
        <f t="shared" si="10"/>
        <v>-2.8551332541632064</v>
      </c>
      <c r="W64" s="62">
        <f t="shared" si="11"/>
        <v>15631.854566543556</v>
      </c>
      <c r="X64" s="68">
        <f t="shared" si="12"/>
        <v>15631.85</v>
      </c>
      <c r="Y64" s="48">
        <f t="shared" si="55"/>
        <v>2.8551324200913242</v>
      </c>
      <c r="Z64" s="67">
        <f t="shared" si="13"/>
        <v>110.27</v>
      </c>
      <c r="AA64" s="56">
        <f t="shared" si="56"/>
        <v>1.7426000000000386E-3</v>
      </c>
      <c r="AB64" s="74">
        <f t="shared" si="5"/>
        <v>32566.699999999997</v>
      </c>
      <c r="AC64" s="74">
        <f t="shared" si="14"/>
        <v>8141.68</v>
      </c>
      <c r="AD64" s="74">
        <f t="shared" ref="AD64:AE64" si="88">+AC64</f>
        <v>8141.68</v>
      </c>
      <c r="AE64" s="74">
        <f t="shared" si="88"/>
        <v>8141.68</v>
      </c>
      <c r="AF64" s="74">
        <f t="shared" si="16"/>
        <v>8141.6599999999962</v>
      </c>
    </row>
    <row r="65" spans="1:32" x14ac:dyDescent="0.35">
      <c r="A65" s="8" t="s">
        <v>127</v>
      </c>
      <c r="B65" t="s">
        <v>128</v>
      </c>
      <c r="C65" t="s">
        <v>235</v>
      </c>
      <c r="D65" s="26">
        <v>43374</v>
      </c>
      <c r="E65" s="26">
        <v>43738</v>
      </c>
      <c r="F65" s="27">
        <v>40</v>
      </c>
      <c r="G65" s="27">
        <v>10534</v>
      </c>
      <c r="H65" s="27">
        <f t="shared" si="0"/>
        <v>10534</v>
      </c>
      <c r="I65" s="28">
        <v>44409</v>
      </c>
      <c r="J65" s="20">
        <v>144.72</v>
      </c>
      <c r="K65" s="20">
        <v>139.52422858</v>
      </c>
      <c r="L65" s="20">
        <f t="shared" si="84"/>
        <v>0.56000000000000005</v>
      </c>
      <c r="M65" s="20">
        <f t="shared" si="85"/>
        <v>4.4400000000000004</v>
      </c>
      <c r="N65" s="20">
        <v>0.91</v>
      </c>
      <c r="O65" s="20">
        <f t="shared" si="87"/>
        <v>0.68</v>
      </c>
      <c r="P65" s="20">
        <f t="shared" si="51"/>
        <v>146.11422858</v>
      </c>
      <c r="Q65" s="20">
        <f t="shared" si="59"/>
        <v>-1.3942285800000036</v>
      </c>
      <c r="R65" s="21">
        <f t="shared" si="7"/>
        <v>149.01099814403278</v>
      </c>
      <c r="S65" s="24">
        <f t="shared" si="54"/>
        <v>4.290998144032784</v>
      </c>
      <c r="T65" s="35">
        <f t="shared" si="8"/>
        <v>2.8967695640327804</v>
      </c>
      <c r="U65" s="69">
        <f t="shared" si="9"/>
        <v>45201.37</v>
      </c>
      <c r="V65" s="24">
        <f t="shared" si="10"/>
        <v>0</v>
      </c>
      <c r="W65" s="62">
        <f t="shared" si="11"/>
        <v>0</v>
      </c>
      <c r="X65" s="68">
        <f t="shared" si="12"/>
        <v>0</v>
      </c>
      <c r="Y65" s="48">
        <f t="shared" si="55"/>
        <v>0</v>
      </c>
      <c r="Z65" s="67">
        <f t="shared" si="13"/>
        <v>149.01</v>
      </c>
      <c r="AA65" s="56">
        <f t="shared" si="56"/>
        <v>2.8957714199999884</v>
      </c>
      <c r="AB65" s="74">
        <f t="shared" si="5"/>
        <v>45201.37</v>
      </c>
      <c r="AC65" s="74">
        <f t="shared" si="14"/>
        <v>11300.34</v>
      </c>
      <c r="AD65" s="74">
        <f t="shared" ref="AD65:AE65" si="89">+AC65</f>
        <v>11300.34</v>
      </c>
      <c r="AE65" s="74">
        <f t="shared" si="89"/>
        <v>11300.34</v>
      </c>
      <c r="AF65" s="74">
        <f t="shared" si="16"/>
        <v>11300.349999999999</v>
      </c>
    </row>
    <row r="66" spans="1:32" x14ac:dyDescent="0.35">
      <c r="A66" s="8" t="s">
        <v>129</v>
      </c>
      <c r="B66" t="s">
        <v>130</v>
      </c>
      <c r="C66" t="s">
        <v>236</v>
      </c>
      <c r="D66" s="26">
        <v>43374</v>
      </c>
      <c r="E66" s="26">
        <v>43738</v>
      </c>
      <c r="F66" s="27">
        <v>18</v>
      </c>
      <c r="G66" s="27">
        <v>6182</v>
      </c>
      <c r="H66" s="27">
        <f t="shared" ref="H66:H89" si="90">ROUND(((E66-D66+1)/365)*G66,0)</f>
        <v>6182</v>
      </c>
      <c r="I66" s="28">
        <v>44409</v>
      </c>
      <c r="J66" s="20">
        <v>90.47</v>
      </c>
      <c r="K66" s="20">
        <v>99.867059229999995</v>
      </c>
      <c r="L66" s="20">
        <f t="shared" si="84"/>
        <v>0.4</v>
      </c>
      <c r="M66" s="20">
        <f t="shared" si="85"/>
        <v>3.18</v>
      </c>
      <c r="N66" s="20">
        <v>0</v>
      </c>
      <c r="O66" s="20">
        <f t="shared" si="87"/>
        <v>0.49</v>
      </c>
      <c r="P66" s="20">
        <f t="shared" si="51"/>
        <v>103.93705923</v>
      </c>
      <c r="Q66" s="20">
        <f t="shared" si="59"/>
        <v>-13.467059230000004</v>
      </c>
      <c r="R66" s="21">
        <f t="shared" si="7"/>
        <v>93.15246684695029</v>
      </c>
      <c r="S66" s="24">
        <f t="shared" si="54"/>
        <v>2.682466846950291</v>
      </c>
      <c r="T66" s="35">
        <f t="shared" si="8"/>
        <v>-10.784592383049713</v>
      </c>
      <c r="U66" s="69">
        <f t="shared" si="9"/>
        <v>16583.009999999998</v>
      </c>
      <c r="V66" s="24">
        <f t="shared" si="10"/>
        <v>-10.784592383049713</v>
      </c>
      <c r="W66" s="62">
        <f t="shared" si="11"/>
        <v>40310.798503349273</v>
      </c>
      <c r="X66" s="68">
        <f t="shared" si="12"/>
        <v>40310.800000000003</v>
      </c>
      <c r="Y66" s="48">
        <f t="shared" si="55"/>
        <v>6.5206729213846657</v>
      </c>
      <c r="Z66" s="67">
        <f t="shared" si="13"/>
        <v>99.67</v>
      </c>
      <c r="AA66" s="56">
        <f t="shared" si="56"/>
        <v>-4.267059230000001</v>
      </c>
      <c r="AB66" s="74">
        <f t="shared" si="5"/>
        <v>56893.81</v>
      </c>
      <c r="AC66" s="74">
        <f t="shared" si="14"/>
        <v>14223.45</v>
      </c>
      <c r="AD66" s="74">
        <f t="shared" ref="AD66:AE66" si="91">+AC66</f>
        <v>14223.45</v>
      </c>
      <c r="AE66" s="74">
        <f t="shared" si="91"/>
        <v>14223.45</v>
      </c>
      <c r="AF66" s="74">
        <f t="shared" si="16"/>
        <v>14223.459999999992</v>
      </c>
    </row>
    <row r="67" spans="1:32" x14ac:dyDescent="0.35">
      <c r="A67" s="8" t="s">
        <v>131</v>
      </c>
      <c r="B67" t="s">
        <v>132</v>
      </c>
      <c r="C67" t="s">
        <v>237</v>
      </c>
      <c r="D67" s="26">
        <v>43374</v>
      </c>
      <c r="E67" s="26">
        <v>43738</v>
      </c>
      <c r="F67" s="27">
        <v>15</v>
      </c>
      <c r="G67" s="27">
        <v>4867</v>
      </c>
      <c r="H67" s="27">
        <f t="shared" si="90"/>
        <v>4867</v>
      </c>
      <c r="I67" s="28">
        <v>44440</v>
      </c>
      <c r="J67" s="20">
        <v>92.12</v>
      </c>
      <c r="K67" s="20">
        <v>90.895821810000001</v>
      </c>
      <c r="L67" s="20">
        <f t="shared" si="84"/>
        <v>0.36</v>
      </c>
      <c r="M67" s="20">
        <f t="shared" si="85"/>
        <v>2.89</v>
      </c>
      <c r="N67" s="20">
        <v>0.36</v>
      </c>
      <c r="O67" s="20">
        <f t="shared" si="87"/>
        <v>0.44</v>
      </c>
      <c r="P67" s="20">
        <f t="shared" si="51"/>
        <v>94.945821809999998</v>
      </c>
      <c r="Q67" s="20">
        <f t="shared" si="59"/>
        <v>-2.8258218099999937</v>
      </c>
      <c r="R67" s="21">
        <f t="shared" si="7"/>
        <v>94.851389918658796</v>
      </c>
      <c r="S67" s="24">
        <f t="shared" si="54"/>
        <v>2.7313899186587918</v>
      </c>
      <c r="T67" s="35">
        <f t="shared" si="8"/>
        <v>-9.443189134120189E-2</v>
      </c>
      <c r="U67" s="69">
        <f t="shared" si="9"/>
        <v>13293.67</v>
      </c>
      <c r="V67" s="24">
        <f t="shared" si="10"/>
        <v>-9.443189134120189E-2</v>
      </c>
      <c r="W67" s="62">
        <f t="shared" si="11"/>
        <v>459.60001515762963</v>
      </c>
      <c r="X67" s="68">
        <f t="shared" si="12"/>
        <v>459.6</v>
      </c>
      <c r="Y67" s="48">
        <f t="shared" si="55"/>
        <v>9.4431888226833779E-2</v>
      </c>
      <c r="Z67" s="67">
        <f t="shared" si="13"/>
        <v>94.95</v>
      </c>
      <c r="AA67" s="56">
        <f t="shared" si="56"/>
        <v>4.1781900000046335E-3</v>
      </c>
      <c r="AB67" s="74">
        <f t="shared" si="5"/>
        <v>13753.27</v>
      </c>
      <c r="AC67" s="74">
        <f t="shared" si="14"/>
        <v>3438.32</v>
      </c>
      <c r="AD67" s="74">
        <f t="shared" ref="AD67:AE67" si="92">+AC67</f>
        <v>3438.32</v>
      </c>
      <c r="AE67" s="74">
        <f t="shared" si="92"/>
        <v>3438.32</v>
      </c>
      <c r="AF67" s="74">
        <f t="shared" si="16"/>
        <v>3438.3099999999995</v>
      </c>
    </row>
    <row r="68" spans="1:32" x14ac:dyDescent="0.35">
      <c r="A68" s="8" t="s">
        <v>133</v>
      </c>
      <c r="B68" t="s">
        <v>134</v>
      </c>
      <c r="C68" t="s">
        <v>238</v>
      </c>
      <c r="D68" s="26">
        <v>43374</v>
      </c>
      <c r="E68" s="26">
        <v>43738</v>
      </c>
      <c r="F68" s="27">
        <v>31</v>
      </c>
      <c r="G68" s="27">
        <v>10923</v>
      </c>
      <c r="H68" s="27">
        <f t="shared" si="90"/>
        <v>10923</v>
      </c>
      <c r="I68" s="28">
        <v>44409</v>
      </c>
      <c r="J68" s="20">
        <v>103.65</v>
      </c>
      <c r="K68" s="20">
        <v>103.18580186</v>
      </c>
      <c r="L68" s="20">
        <f t="shared" si="84"/>
        <v>0.41</v>
      </c>
      <c r="M68" s="20">
        <f t="shared" si="85"/>
        <v>3.28</v>
      </c>
      <c r="N68" s="20">
        <v>0.18</v>
      </c>
      <c r="O68" s="20">
        <f t="shared" si="87"/>
        <v>0.5</v>
      </c>
      <c r="P68" s="20">
        <f t="shared" ref="P68:P89" si="93">SUM(K68:O68)</f>
        <v>107.55580186</v>
      </c>
      <c r="Q68" s="20">
        <f t="shared" si="59"/>
        <v>-3.9058018599999969</v>
      </c>
      <c r="R68" s="21">
        <f t="shared" si="7"/>
        <v>106.7232584136885</v>
      </c>
      <c r="S68" s="24">
        <f t="shared" si="54"/>
        <v>3.0732584136884924</v>
      </c>
      <c r="T68" s="35">
        <f t="shared" si="8"/>
        <v>-0.83254344631150445</v>
      </c>
      <c r="U68" s="69">
        <f t="shared" si="9"/>
        <v>33569.199999999997</v>
      </c>
      <c r="V68" s="24">
        <f>IF(T68&lt;0,T68*$V$1,0)</f>
        <v>-0.83254344631150445</v>
      </c>
      <c r="W68" s="62">
        <f t="shared" si="11"/>
        <v>9093.8720640605625</v>
      </c>
      <c r="X68" s="68">
        <f t="shared" si="12"/>
        <v>9093.8700000000008</v>
      </c>
      <c r="Y68" s="48">
        <f t="shared" si="55"/>
        <v>0.83254325734688284</v>
      </c>
      <c r="Z68" s="67">
        <f t="shared" si="13"/>
        <v>107.56</v>
      </c>
      <c r="AA68" s="56">
        <f t="shared" si="56"/>
        <v>4.1981399999997393E-3</v>
      </c>
      <c r="AB68" s="74">
        <f t="shared" si="5"/>
        <v>42663.07</v>
      </c>
      <c r="AC68" s="74">
        <f t="shared" si="14"/>
        <v>10665.77</v>
      </c>
      <c r="AD68" s="74">
        <f t="shared" ref="AD68:AE68" si="94">+AC68</f>
        <v>10665.77</v>
      </c>
      <c r="AE68" s="74">
        <f t="shared" si="94"/>
        <v>10665.77</v>
      </c>
      <c r="AF68" s="74">
        <f t="shared" si="16"/>
        <v>10665.759999999998</v>
      </c>
    </row>
    <row r="69" spans="1:32" x14ac:dyDescent="0.35">
      <c r="A69" s="8" t="s">
        <v>135</v>
      </c>
      <c r="B69" t="s">
        <v>136</v>
      </c>
      <c r="C69" t="s">
        <v>239</v>
      </c>
      <c r="D69" s="26">
        <v>43374</v>
      </c>
      <c r="E69" s="26">
        <v>43738</v>
      </c>
      <c r="F69" s="27">
        <v>50</v>
      </c>
      <c r="G69" s="27">
        <v>14656</v>
      </c>
      <c r="H69" s="27">
        <f t="shared" si="90"/>
        <v>14656</v>
      </c>
      <c r="I69" s="28">
        <v>44409</v>
      </c>
      <c r="J69" s="20">
        <v>67.010000000000005</v>
      </c>
      <c r="K69" s="20">
        <v>70.110222469999997</v>
      </c>
      <c r="L69" s="20">
        <f t="shared" si="84"/>
        <v>0.28000000000000003</v>
      </c>
      <c r="M69" s="20">
        <f t="shared" si="85"/>
        <v>2.23</v>
      </c>
      <c r="N69" s="20">
        <v>0</v>
      </c>
      <c r="O69" s="20">
        <f t="shared" si="87"/>
        <v>0.34</v>
      </c>
      <c r="P69" s="20">
        <f t="shared" si="93"/>
        <v>72.960222470000005</v>
      </c>
      <c r="Q69" s="20">
        <f>J69-P69</f>
        <v>-5.9502224699999999</v>
      </c>
      <c r="R69" s="21">
        <f t="shared" si="7"/>
        <v>68.996869718294903</v>
      </c>
      <c r="S69" s="24">
        <f t="shared" si="54"/>
        <v>1.9868697182948978</v>
      </c>
      <c r="T69" s="35">
        <f t="shared" si="8"/>
        <v>-3.9633527517051022</v>
      </c>
      <c r="U69" s="69">
        <f t="shared" si="9"/>
        <v>29119.56</v>
      </c>
      <c r="V69" s="24">
        <f t="shared" si="10"/>
        <v>-3.9633527517051022</v>
      </c>
      <c r="W69" s="62">
        <f t="shared" si="11"/>
        <v>58086.89792898998</v>
      </c>
      <c r="X69" s="68">
        <f t="shared" si="12"/>
        <v>58086.9</v>
      </c>
      <c r="Y69" s="48">
        <f t="shared" si="55"/>
        <v>3.9633528930131003</v>
      </c>
      <c r="Z69" s="67">
        <f t="shared" si="13"/>
        <v>72.959999999999994</v>
      </c>
      <c r="AA69" s="56">
        <f t="shared" si="56"/>
        <v>-2.2247000001129891E-4</v>
      </c>
      <c r="AB69" s="74">
        <f t="shared" si="5"/>
        <v>87206.46</v>
      </c>
      <c r="AC69" s="74">
        <f t="shared" si="14"/>
        <v>21801.62</v>
      </c>
      <c r="AD69" s="74">
        <f t="shared" ref="AD69:AE69" si="95">+AC69</f>
        <v>21801.62</v>
      </c>
      <c r="AE69" s="74">
        <f t="shared" si="95"/>
        <v>21801.62</v>
      </c>
      <c r="AF69" s="74">
        <f t="shared" si="16"/>
        <v>21801.600000000006</v>
      </c>
    </row>
    <row r="70" spans="1:32" x14ac:dyDescent="0.35">
      <c r="A70" s="8" t="s">
        <v>137</v>
      </c>
      <c r="B70" t="s">
        <v>138</v>
      </c>
      <c r="C70" t="s">
        <v>240</v>
      </c>
      <c r="D70" s="26">
        <v>43374</v>
      </c>
      <c r="E70" s="26">
        <v>43738</v>
      </c>
      <c r="F70" s="27">
        <v>16</v>
      </c>
      <c r="G70" s="27">
        <v>5796</v>
      </c>
      <c r="H70" s="27">
        <f t="shared" si="90"/>
        <v>5796</v>
      </c>
      <c r="I70" s="28">
        <v>44440</v>
      </c>
      <c r="J70" s="20">
        <v>99.28</v>
      </c>
      <c r="K70" s="20">
        <v>95.07650117</v>
      </c>
      <c r="L70" s="20">
        <f t="shared" si="84"/>
        <v>0.38</v>
      </c>
      <c r="M70" s="20">
        <f t="shared" si="85"/>
        <v>3.03</v>
      </c>
      <c r="N70" s="20">
        <v>0</v>
      </c>
      <c r="O70" s="20">
        <f t="shared" si="87"/>
        <v>0.46</v>
      </c>
      <c r="P70" s="20">
        <f t="shared" si="93"/>
        <v>98.946501169999991</v>
      </c>
      <c r="Q70" s="20">
        <f t="shared" si="59"/>
        <v>0.33349883000001057</v>
      </c>
      <c r="R70" s="21">
        <f t="shared" si="7"/>
        <v>102.2236863995272</v>
      </c>
      <c r="S70" s="24">
        <f t="shared" si="54"/>
        <v>2.9436863995271949</v>
      </c>
      <c r="T70" s="35">
        <f t="shared" si="8"/>
        <v>3.2771852295272055</v>
      </c>
      <c r="U70" s="69">
        <f t="shared" si="9"/>
        <v>17061.61</v>
      </c>
      <c r="V70" s="24">
        <f t="shared" si="10"/>
        <v>0</v>
      </c>
      <c r="W70" s="62">
        <f t="shared" si="11"/>
        <v>0</v>
      </c>
      <c r="X70" s="68">
        <f t="shared" si="12"/>
        <v>0</v>
      </c>
      <c r="Y70" s="48">
        <f t="shared" si="55"/>
        <v>0</v>
      </c>
      <c r="Z70" s="67">
        <f t="shared" si="13"/>
        <v>102.22</v>
      </c>
      <c r="AA70" s="56">
        <f t="shared" si="56"/>
        <v>3.2734988300000083</v>
      </c>
      <c r="AB70" s="74">
        <f t="shared" si="5"/>
        <v>17061.61</v>
      </c>
      <c r="AC70" s="74">
        <f t="shared" si="14"/>
        <v>4265.3999999999996</v>
      </c>
      <c r="AD70" s="74">
        <f t="shared" ref="AD70:AE70" si="96">+AC70</f>
        <v>4265.3999999999996</v>
      </c>
      <c r="AE70" s="74">
        <f t="shared" si="96"/>
        <v>4265.3999999999996</v>
      </c>
      <c r="AF70" s="74">
        <f t="shared" si="16"/>
        <v>4265.4100000000017</v>
      </c>
    </row>
    <row r="71" spans="1:32" x14ac:dyDescent="0.35">
      <c r="A71" s="8" t="s">
        <v>139</v>
      </c>
      <c r="B71" t="s">
        <v>140</v>
      </c>
      <c r="C71" t="s">
        <v>241</v>
      </c>
      <c r="D71" s="26">
        <v>43374</v>
      </c>
      <c r="E71" s="26">
        <v>43738</v>
      </c>
      <c r="F71" s="27">
        <v>18</v>
      </c>
      <c r="G71" s="27">
        <v>6178</v>
      </c>
      <c r="H71" s="27">
        <f t="shared" si="90"/>
        <v>6178</v>
      </c>
      <c r="I71" s="28">
        <v>44409</v>
      </c>
      <c r="J71" s="20">
        <v>140.74</v>
      </c>
      <c r="K71" s="20">
        <v>130.85895013000001</v>
      </c>
      <c r="L71" s="20">
        <f t="shared" si="84"/>
        <v>0.52</v>
      </c>
      <c r="M71" s="20">
        <f t="shared" si="85"/>
        <v>4.16</v>
      </c>
      <c r="N71" s="20">
        <v>2.4300000000000002</v>
      </c>
      <c r="O71" s="20">
        <f t="shared" si="87"/>
        <v>0.65</v>
      </c>
      <c r="P71" s="20">
        <f t="shared" si="93"/>
        <v>138.61895013000003</v>
      </c>
      <c r="Q71" s="20">
        <f t="shared" si="59"/>
        <v>2.1210498699999789</v>
      </c>
      <c r="R71" s="21">
        <f t="shared" si="7"/>
        <v>144.91298976500261</v>
      </c>
      <c r="S71" s="24">
        <f t="shared" si="54"/>
        <v>4.1729897650025976</v>
      </c>
      <c r="T71" s="35">
        <f t="shared" si="8"/>
        <v>6.2940396350025765</v>
      </c>
      <c r="U71" s="69">
        <f t="shared" si="9"/>
        <v>25780.73</v>
      </c>
      <c r="V71" s="24">
        <f t="shared" si="10"/>
        <v>0</v>
      </c>
      <c r="W71" s="62">
        <f t="shared" si="11"/>
        <v>0</v>
      </c>
      <c r="X71" s="68">
        <f t="shared" si="12"/>
        <v>0</v>
      </c>
      <c r="Y71" s="48">
        <f t="shared" si="55"/>
        <v>0</v>
      </c>
      <c r="Z71" s="67">
        <f t="shared" si="13"/>
        <v>144.91</v>
      </c>
      <c r="AA71" s="56">
        <f t="shared" si="56"/>
        <v>6.2910498699999664</v>
      </c>
      <c r="AB71" s="74">
        <f t="shared" si="5"/>
        <v>25780.73</v>
      </c>
      <c r="AC71" s="74">
        <f t="shared" si="14"/>
        <v>6445.18</v>
      </c>
      <c r="AD71" s="74">
        <f t="shared" ref="AD71:AE71" si="97">+AC71</f>
        <v>6445.18</v>
      </c>
      <c r="AE71" s="74">
        <f t="shared" si="97"/>
        <v>6445.18</v>
      </c>
      <c r="AF71" s="74">
        <f t="shared" si="16"/>
        <v>6445.1899999999987</v>
      </c>
    </row>
    <row r="72" spans="1:32" x14ac:dyDescent="0.35">
      <c r="A72" s="8" t="s">
        <v>141</v>
      </c>
      <c r="B72" t="s">
        <v>142</v>
      </c>
      <c r="C72" t="s">
        <v>242</v>
      </c>
      <c r="D72" s="26">
        <v>43374</v>
      </c>
      <c r="E72" s="26">
        <v>43738</v>
      </c>
      <c r="F72" s="27">
        <v>58</v>
      </c>
      <c r="G72" s="27">
        <v>16445</v>
      </c>
      <c r="H72" s="27">
        <f t="shared" si="90"/>
        <v>16445</v>
      </c>
      <c r="I72" s="28">
        <v>44409</v>
      </c>
      <c r="J72" s="20">
        <v>140.15</v>
      </c>
      <c r="K72" s="20">
        <v>134.80739335999999</v>
      </c>
      <c r="L72" s="20">
        <f t="shared" si="84"/>
        <v>0.54</v>
      </c>
      <c r="M72" s="20">
        <f t="shared" si="85"/>
        <v>4.29</v>
      </c>
      <c r="N72" s="20">
        <v>1.28</v>
      </c>
      <c r="O72" s="20">
        <f t="shared" si="87"/>
        <v>0.66</v>
      </c>
      <c r="P72" s="20">
        <f t="shared" si="93"/>
        <v>141.57739335999997</v>
      </c>
      <c r="Q72" s="20">
        <f t="shared" si="59"/>
        <v>-1.427393359999968</v>
      </c>
      <c r="R72" s="21">
        <f t="shared" si="7"/>
        <v>144.30549606057349</v>
      </c>
      <c r="S72" s="24">
        <f t="shared" ref="S72:S89" si="98">R72-J72</f>
        <v>4.1554960605734834</v>
      </c>
      <c r="T72" s="35">
        <f t="shared" si="8"/>
        <v>2.7281027005735154</v>
      </c>
      <c r="U72" s="69">
        <f t="shared" si="9"/>
        <v>68337.13</v>
      </c>
      <c r="V72" s="24">
        <f t="shared" si="10"/>
        <v>0</v>
      </c>
      <c r="W72" s="62">
        <f t="shared" si="11"/>
        <v>0</v>
      </c>
      <c r="X72" s="68">
        <f t="shared" si="12"/>
        <v>0</v>
      </c>
      <c r="Y72" s="48">
        <f t="shared" ref="Y72:Y89" si="99">X72/H72</f>
        <v>0</v>
      </c>
      <c r="Z72" s="67">
        <f t="shared" si="13"/>
        <v>144.31</v>
      </c>
      <c r="AA72" s="56">
        <f t="shared" ref="AA72:AA89" si="100">Z72-P72</f>
        <v>2.7326066400000286</v>
      </c>
      <c r="AB72" s="74">
        <f t="shared" ref="AB72:AB89" si="101">+X72+U72</f>
        <v>68337.13</v>
      </c>
      <c r="AC72" s="74">
        <f t="shared" si="14"/>
        <v>17084.28</v>
      </c>
      <c r="AD72" s="74">
        <f t="shared" ref="AD72:AE72" si="102">+AC72</f>
        <v>17084.28</v>
      </c>
      <c r="AE72" s="74">
        <f t="shared" si="102"/>
        <v>17084.28</v>
      </c>
      <c r="AF72" s="74">
        <f t="shared" si="16"/>
        <v>17084.290000000008</v>
      </c>
    </row>
    <row r="73" spans="1:32" x14ac:dyDescent="0.35">
      <c r="A73" s="8" t="s">
        <v>143</v>
      </c>
      <c r="B73" t="s">
        <v>144</v>
      </c>
      <c r="C73" t="s">
        <v>243</v>
      </c>
      <c r="D73" s="26">
        <v>43374</v>
      </c>
      <c r="E73" s="26">
        <v>43738</v>
      </c>
      <c r="F73" s="27">
        <v>50</v>
      </c>
      <c r="G73" s="27">
        <v>15794</v>
      </c>
      <c r="H73" s="27">
        <f t="shared" si="90"/>
        <v>15794</v>
      </c>
      <c r="I73" s="28">
        <v>44409</v>
      </c>
      <c r="J73" s="20">
        <v>130.47</v>
      </c>
      <c r="K73" s="20">
        <v>126.17349409000001</v>
      </c>
      <c r="L73" s="20">
        <f t="shared" si="84"/>
        <v>0.5</v>
      </c>
      <c r="M73" s="20">
        <f t="shared" si="85"/>
        <v>4.0199999999999996</v>
      </c>
      <c r="N73" s="20">
        <v>0</v>
      </c>
      <c r="O73" s="20">
        <f t="shared" si="87"/>
        <v>0.61</v>
      </c>
      <c r="P73" s="20">
        <f t="shared" si="93"/>
        <v>131.30349409000002</v>
      </c>
      <c r="Q73" s="20">
        <f t="shared" ref="Q73:Q89" si="103">J73-P73</f>
        <v>-0.83349409000001629</v>
      </c>
      <c r="R73" s="21">
        <f t="shared" ref="R73:R89" si="104">J73*($J$3+1)</f>
        <v>134.33848070655029</v>
      </c>
      <c r="S73" s="24">
        <f t="shared" si="98"/>
        <v>3.8684807065502866</v>
      </c>
      <c r="T73" s="35">
        <f t="shared" ref="T73:T89" si="105">R73-P73</f>
        <v>3.0349866165502704</v>
      </c>
      <c r="U73" s="69">
        <f t="shared" ref="U73:U89" si="106">ROUND(S73*H73,2)</f>
        <v>61098.78</v>
      </c>
      <c r="V73" s="24">
        <f t="shared" ref="V73:V88" si="107">IF(T73&lt;0,T73*$V$1,0)</f>
        <v>0</v>
      </c>
      <c r="W73" s="62">
        <f t="shared" ref="W73:W89" si="108">IF(-V73/R73&lt;$P$3,H73*-V73,R73*$P$3*H73)</f>
        <v>0</v>
      </c>
      <c r="X73" s="68">
        <f t="shared" ref="X73:X89" si="109">ROUND(W73,2)</f>
        <v>0</v>
      </c>
      <c r="Y73" s="48">
        <f t="shared" si="99"/>
        <v>0</v>
      </c>
      <c r="Z73" s="67">
        <f t="shared" ref="Z73:Z89" si="110">ROUND(+Y73+R73,2)</f>
        <v>134.34</v>
      </c>
      <c r="AA73" s="56">
        <f t="shared" si="100"/>
        <v>3.0365059099999883</v>
      </c>
      <c r="AB73" s="74">
        <f t="shared" si="101"/>
        <v>61098.78</v>
      </c>
      <c r="AC73" s="74">
        <f t="shared" si="14"/>
        <v>15274.7</v>
      </c>
      <c r="AD73" s="74">
        <f t="shared" ref="AD73:AE73" si="111">+AC73</f>
        <v>15274.7</v>
      </c>
      <c r="AE73" s="74">
        <f t="shared" si="111"/>
        <v>15274.7</v>
      </c>
      <c r="AF73" s="74">
        <f t="shared" si="16"/>
        <v>15274.679999999993</v>
      </c>
    </row>
    <row r="74" spans="1:32" x14ac:dyDescent="0.35">
      <c r="A74" s="8" t="s">
        <v>145</v>
      </c>
      <c r="B74" t="s">
        <v>146</v>
      </c>
      <c r="C74" t="s">
        <v>244</v>
      </c>
      <c r="D74" s="26">
        <v>43374</v>
      </c>
      <c r="E74" s="26">
        <v>43738</v>
      </c>
      <c r="F74" s="27">
        <v>36</v>
      </c>
      <c r="G74" s="27">
        <v>8121</v>
      </c>
      <c r="H74" s="27">
        <f t="shared" si="90"/>
        <v>8121</v>
      </c>
      <c r="I74" s="28">
        <v>44409</v>
      </c>
      <c r="J74" s="20">
        <v>161.93</v>
      </c>
      <c r="K74" s="20">
        <v>149.77259687</v>
      </c>
      <c r="L74" s="20">
        <f t="shared" si="84"/>
        <v>0.6</v>
      </c>
      <c r="M74" s="20">
        <f t="shared" si="85"/>
        <v>4.7699999999999996</v>
      </c>
      <c r="N74" s="20">
        <v>0.99</v>
      </c>
      <c r="O74" s="20">
        <f t="shared" si="87"/>
        <v>0.73</v>
      </c>
      <c r="P74" s="20">
        <f t="shared" si="93"/>
        <v>156.86259687</v>
      </c>
      <c r="Q74" s="20">
        <f t="shared" si="103"/>
        <v>5.0674031300000024</v>
      </c>
      <c r="R74" s="21">
        <f t="shared" si="104"/>
        <v>166.73128060712571</v>
      </c>
      <c r="S74" s="24">
        <f t="shared" si="98"/>
        <v>4.8012806071257046</v>
      </c>
      <c r="T74" s="35">
        <f t="shared" si="105"/>
        <v>9.868683737125707</v>
      </c>
      <c r="U74" s="69">
        <f t="shared" si="106"/>
        <v>38991.199999999997</v>
      </c>
      <c r="V74" s="24">
        <f t="shared" si="107"/>
        <v>0</v>
      </c>
      <c r="W74" s="62">
        <f t="shared" si="108"/>
        <v>0</v>
      </c>
      <c r="X74" s="68">
        <f t="shared" si="109"/>
        <v>0</v>
      </c>
      <c r="Y74" s="48">
        <f t="shared" si="99"/>
        <v>0</v>
      </c>
      <c r="Z74" s="67">
        <f t="shared" si="110"/>
        <v>166.73</v>
      </c>
      <c r="AA74" s="56">
        <f t="shared" si="100"/>
        <v>9.8674031299999854</v>
      </c>
      <c r="AB74" s="74">
        <f t="shared" si="101"/>
        <v>38991.199999999997</v>
      </c>
      <c r="AC74" s="74">
        <f t="shared" ref="AC74:AC89" si="112">ROUND(+AB74/4,2)</f>
        <v>9747.7999999999993</v>
      </c>
      <c r="AD74" s="74">
        <f t="shared" ref="AD74:AE74" si="113">+AC74</f>
        <v>9747.7999999999993</v>
      </c>
      <c r="AE74" s="74">
        <f t="shared" si="113"/>
        <v>9747.7999999999993</v>
      </c>
      <c r="AF74" s="74">
        <f t="shared" ref="AF74:AF89" si="114">AB74-SUM(AC74:AE74)</f>
        <v>9747.7999999999993</v>
      </c>
    </row>
    <row r="75" spans="1:32" x14ac:dyDescent="0.35">
      <c r="A75" s="8" t="s">
        <v>147</v>
      </c>
      <c r="B75" t="s">
        <v>148</v>
      </c>
      <c r="C75" t="s">
        <v>245</v>
      </c>
      <c r="D75" s="26">
        <v>43374</v>
      </c>
      <c r="E75" s="26">
        <v>43738</v>
      </c>
      <c r="F75" s="27">
        <v>75</v>
      </c>
      <c r="G75" s="27">
        <v>3799</v>
      </c>
      <c r="H75" s="27">
        <f t="shared" si="90"/>
        <v>3799</v>
      </c>
      <c r="I75" s="28">
        <v>44409</v>
      </c>
      <c r="J75" s="20">
        <v>92.23</v>
      </c>
      <c r="K75" s="20">
        <v>95.619805029999995</v>
      </c>
      <c r="L75" s="20">
        <f t="shared" si="84"/>
        <v>0.38</v>
      </c>
      <c r="M75" s="20">
        <f t="shared" si="85"/>
        <v>3.04</v>
      </c>
      <c r="N75" s="20">
        <v>0.06</v>
      </c>
      <c r="O75" s="20">
        <f t="shared" si="87"/>
        <v>0.47</v>
      </c>
      <c r="P75" s="20">
        <f t="shared" si="93"/>
        <v>99.569805029999998</v>
      </c>
      <c r="Q75" s="20">
        <f t="shared" si="103"/>
        <v>-7.3398050299999937</v>
      </c>
      <c r="R75" s="21">
        <f t="shared" si="104"/>
        <v>94.9646514567727</v>
      </c>
      <c r="S75" s="24">
        <f t="shared" si="98"/>
        <v>2.7346514567726956</v>
      </c>
      <c r="T75" s="35">
        <f t="shared" si="105"/>
        <v>-4.6051535732272981</v>
      </c>
      <c r="U75" s="69">
        <f t="shared" si="106"/>
        <v>10388.94</v>
      </c>
      <c r="V75" s="24">
        <f t="shared" si="107"/>
        <v>-4.6051535732272981</v>
      </c>
      <c r="W75" s="62">
        <f t="shared" si="108"/>
        <v>17494.978424690507</v>
      </c>
      <c r="X75" s="68">
        <f t="shared" si="109"/>
        <v>17494.98</v>
      </c>
      <c r="Y75" s="48">
        <f t="shared" si="99"/>
        <v>4.6051539878915504</v>
      </c>
      <c r="Z75" s="67">
        <f t="shared" si="110"/>
        <v>99.57</v>
      </c>
      <c r="AA75" s="56">
        <f t="shared" si="100"/>
        <v>1.949699999954646E-4</v>
      </c>
      <c r="AB75" s="74">
        <f t="shared" si="101"/>
        <v>27883.919999999998</v>
      </c>
      <c r="AC75" s="74">
        <f t="shared" si="112"/>
        <v>6970.98</v>
      </c>
      <c r="AD75" s="74">
        <f t="shared" ref="AD75:AE75" si="115">+AC75</f>
        <v>6970.98</v>
      </c>
      <c r="AE75" s="74">
        <f t="shared" si="115"/>
        <v>6970.98</v>
      </c>
      <c r="AF75" s="74">
        <f t="shared" si="114"/>
        <v>6970.98</v>
      </c>
    </row>
    <row r="76" spans="1:32" x14ac:dyDescent="0.35">
      <c r="A76" s="8" t="s">
        <v>149</v>
      </c>
      <c r="B76" t="s">
        <v>150</v>
      </c>
      <c r="C76" t="s">
        <v>246</v>
      </c>
      <c r="D76" s="26">
        <v>43374</v>
      </c>
      <c r="E76" s="26">
        <v>43738</v>
      </c>
      <c r="F76" s="27">
        <v>24</v>
      </c>
      <c r="G76" s="27">
        <v>6665</v>
      </c>
      <c r="H76" s="27">
        <f t="shared" si="90"/>
        <v>6665</v>
      </c>
      <c r="I76" s="28">
        <v>44409</v>
      </c>
      <c r="J76" s="20">
        <v>137.07</v>
      </c>
      <c r="K76" s="20">
        <v>146.87615131000001</v>
      </c>
      <c r="L76" s="20">
        <f t="shared" si="84"/>
        <v>0.59</v>
      </c>
      <c r="M76" s="20">
        <f t="shared" si="85"/>
        <v>4.67</v>
      </c>
      <c r="N76" s="20">
        <v>0.91</v>
      </c>
      <c r="O76" s="20">
        <f t="shared" si="87"/>
        <v>0.72</v>
      </c>
      <c r="P76" s="20">
        <f t="shared" si="93"/>
        <v>153.76615131</v>
      </c>
      <c r="Q76" s="20">
        <f t="shared" si="103"/>
        <v>-16.696151310000005</v>
      </c>
      <c r="R76" s="21">
        <f t="shared" si="104"/>
        <v>141.13417299338428</v>
      </c>
      <c r="S76" s="24">
        <f t="shared" si="98"/>
        <v>4.0641729933842896</v>
      </c>
      <c r="T76" s="35">
        <f t="shared" si="105"/>
        <v>-12.631978316615715</v>
      </c>
      <c r="U76" s="69">
        <f t="shared" si="106"/>
        <v>27087.71</v>
      </c>
      <c r="V76" s="24">
        <f t="shared" si="107"/>
        <v>-12.631978316615715</v>
      </c>
      <c r="W76" s="62">
        <f t="shared" si="108"/>
        <v>65846.148410063455</v>
      </c>
      <c r="X76" s="68">
        <f t="shared" si="109"/>
        <v>65846.149999999994</v>
      </c>
      <c r="Y76" s="48">
        <f t="shared" si="99"/>
        <v>9.8793923480870216</v>
      </c>
      <c r="Z76" s="67">
        <f t="shared" si="110"/>
        <v>151.01</v>
      </c>
      <c r="AA76" s="56">
        <f t="shared" si="100"/>
        <v>-2.756151310000007</v>
      </c>
      <c r="AB76" s="74">
        <f t="shared" si="101"/>
        <v>92933.859999999986</v>
      </c>
      <c r="AC76" s="74">
        <f t="shared" si="112"/>
        <v>23233.47</v>
      </c>
      <c r="AD76" s="74">
        <f t="shared" ref="AD76:AE76" si="116">+AC76</f>
        <v>23233.47</v>
      </c>
      <c r="AE76" s="74">
        <f t="shared" si="116"/>
        <v>23233.47</v>
      </c>
      <c r="AF76" s="74">
        <f t="shared" si="114"/>
        <v>23233.449999999983</v>
      </c>
    </row>
    <row r="77" spans="1:32" x14ac:dyDescent="0.35">
      <c r="A77" s="8" t="s">
        <v>151</v>
      </c>
      <c r="B77" t="s">
        <v>152</v>
      </c>
      <c r="C77" t="s">
        <v>247</v>
      </c>
      <c r="D77" s="26">
        <v>43374</v>
      </c>
      <c r="E77" s="26">
        <v>43738</v>
      </c>
      <c r="F77" s="27">
        <v>15</v>
      </c>
      <c r="G77" s="27">
        <v>5185</v>
      </c>
      <c r="H77" s="27">
        <f t="shared" si="90"/>
        <v>5185</v>
      </c>
      <c r="I77" s="28">
        <v>44409</v>
      </c>
      <c r="J77" s="20">
        <v>103.27</v>
      </c>
      <c r="K77" s="20">
        <v>108.7042871</v>
      </c>
      <c r="L77" s="20">
        <f t="shared" si="84"/>
        <v>0.43</v>
      </c>
      <c r="M77" s="20">
        <f t="shared" si="85"/>
        <v>3.46</v>
      </c>
      <c r="N77" s="20">
        <v>0</v>
      </c>
      <c r="O77" s="20">
        <f t="shared" si="87"/>
        <v>0.53</v>
      </c>
      <c r="P77" s="20">
        <f t="shared" si="93"/>
        <v>113.1242871</v>
      </c>
      <c r="Q77" s="20">
        <f t="shared" si="103"/>
        <v>-9.8542871000000076</v>
      </c>
      <c r="R77" s="21">
        <f t="shared" si="104"/>
        <v>106.33199128202229</v>
      </c>
      <c r="S77" s="24">
        <f t="shared" si="98"/>
        <v>3.0619912820222908</v>
      </c>
      <c r="T77" s="35">
        <f t="shared" si="105"/>
        <v>-6.7922958179777169</v>
      </c>
      <c r="U77" s="69">
        <f t="shared" si="106"/>
        <v>15876.42</v>
      </c>
      <c r="V77" s="24">
        <f t="shared" si="107"/>
        <v>-6.7922958179777169</v>
      </c>
      <c r="W77" s="62">
        <f t="shared" si="108"/>
        <v>35218.053816214458</v>
      </c>
      <c r="X77" s="68">
        <f t="shared" si="109"/>
        <v>35218.050000000003</v>
      </c>
      <c r="Y77" s="48">
        <f t="shared" si="99"/>
        <v>6.7922950819672137</v>
      </c>
      <c r="Z77" s="67">
        <f t="shared" si="110"/>
        <v>113.12</v>
      </c>
      <c r="AA77" s="56">
        <f t="shared" si="100"/>
        <v>-4.2870999999991E-3</v>
      </c>
      <c r="AB77" s="74">
        <f t="shared" si="101"/>
        <v>51094.47</v>
      </c>
      <c r="AC77" s="74">
        <f t="shared" si="112"/>
        <v>12773.62</v>
      </c>
      <c r="AD77" s="74">
        <f t="shared" ref="AD77:AE77" si="117">+AC77</f>
        <v>12773.62</v>
      </c>
      <c r="AE77" s="74">
        <f t="shared" si="117"/>
        <v>12773.62</v>
      </c>
      <c r="AF77" s="74">
        <f t="shared" si="114"/>
        <v>12773.61</v>
      </c>
    </row>
    <row r="78" spans="1:32" x14ac:dyDescent="0.35">
      <c r="A78" s="8" t="s">
        <v>153</v>
      </c>
      <c r="B78" t="s">
        <v>154</v>
      </c>
      <c r="C78" t="s">
        <v>248</v>
      </c>
      <c r="D78" s="26">
        <v>43374</v>
      </c>
      <c r="E78" s="26">
        <v>43738</v>
      </c>
      <c r="F78" s="27">
        <v>22</v>
      </c>
      <c r="G78" s="27">
        <v>7017</v>
      </c>
      <c r="H78" s="27">
        <f t="shared" si="90"/>
        <v>7017</v>
      </c>
      <c r="I78" s="28">
        <v>44409</v>
      </c>
      <c r="J78" s="20">
        <v>75.39</v>
      </c>
      <c r="K78" s="20">
        <v>82.172387479999998</v>
      </c>
      <c r="L78" s="20">
        <f t="shared" si="84"/>
        <v>0.33</v>
      </c>
      <c r="M78" s="20">
        <f t="shared" si="85"/>
        <v>2.62</v>
      </c>
      <c r="N78" s="20">
        <v>0.75</v>
      </c>
      <c r="O78" s="20">
        <f t="shared" si="87"/>
        <v>0.4</v>
      </c>
      <c r="P78" s="20">
        <f t="shared" si="93"/>
        <v>86.272387480000006</v>
      </c>
      <c r="Q78" s="20">
        <f t="shared" si="103"/>
        <v>-10.882387480000006</v>
      </c>
      <c r="R78" s="21">
        <f t="shared" si="104"/>
        <v>77.625339621881096</v>
      </c>
      <c r="S78" s="24">
        <f t="shared" si="98"/>
        <v>2.2353396218810957</v>
      </c>
      <c r="T78" s="35">
        <f t="shared" si="105"/>
        <v>-8.6470478581189099</v>
      </c>
      <c r="U78" s="69">
        <f t="shared" si="106"/>
        <v>15685.38</v>
      </c>
      <c r="V78" s="24">
        <f t="shared" si="107"/>
        <v>-8.6470478581189099</v>
      </c>
      <c r="W78" s="62">
        <f t="shared" si="108"/>
        <v>38128.79056887178</v>
      </c>
      <c r="X78" s="68">
        <f t="shared" si="109"/>
        <v>38128.79</v>
      </c>
      <c r="Y78" s="48">
        <f t="shared" si="99"/>
        <v>5.4337736924611661</v>
      </c>
      <c r="Z78" s="67">
        <f t="shared" si="110"/>
        <v>83.06</v>
      </c>
      <c r="AA78" s="56">
        <f t="shared" si="100"/>
        <v>-3.2123874800000038</v>
      </c>
      <c r="AB78" s="74">
        <f t="shared" si="101"/>
        <v>53814.17</v>
      </c>
      <c r="AC78" s="74">
        <f t="shared" si="112"/>
        <v>13453.54</v>
      </c>
      <c r="AD78" s="74">
        <f t="shared" ref="AD78:AE78" si="118">+AC78</f>
        <v>13453.54</v>
      </c>
      <c r="AE78" s="74">
        <f t="shared" si="118"/>
        <v>13453.54</v>
      </c>
      <c r="AF78" s="74">
        <f t="shared" si="114"/>
        <v>13453.549999999996</v>
      </c>
    </row>
    <row r="79" spans="1:32" x14ac:dyDescent="0.35">
      <c r="A79" s="8" t="s">
        <v>155</v>
      </c>
      <c r="B79" t="s">
        <v>156</v>
      </c>
      <c r="C79" t="s">
        <v>249</v>
      </c>
      <c r="D79" s="26">
        <v>43374</v>
      </c>
      <c r="E79" s="26">
        <v>43738</v>
      </c>
      <c r="F79" s="27">
        <v>23</v>
      </c>
      <c r="G79" s="27">
        <v>5696</v>
      </c>
      <c r="H79" s="27">
        <f t="shared" si="90"/>
        <v>5696</v>
      </c>
      <c r="I79" s="28">
        <v>44409</v>
      </c>
      <c r="J79" s="20">
        <v>138.11000000000001</v>
      </c>
      <c r="K79" s="20">
        <v>87.632907029999998</v>
      </c>
      <c r="L79" s="20">
        <f t="shared" si="84"/>
        <v>0.35</v>
      </c>
      <c r="M79" s="20">
        <f t="shared" si="85"/>
        <v>2.79</v>
      </c>
      <c r="N79" s="20">
        <v>7.0000000000000007E-2</v>
      </c>
      <c r="O79" s="20">
        <f t="shared" si="87"/>
        <v>0.43</v>
      </c>
      <c r="P79" s="20">
        <f t="shared" si="93"/>
        <v>91.272907029999999</v>
      </c>
      <c r="Q79" s="20">
        <f t="shared" si="103"/>
        <v>46.837092970000015</v>
      </c>
      <c r="R79" s="21">
        <f t="shared" si="104"/>
        <v>142.20500935373391</v>
      </c>
      <c r="S79" s="24">
        <f t="shared" si="98"/>
        <v>4.0950093537339001</v>
      </c>
      <c r="T79" s="35">
        <f t="shared" si="105"/>
        <v>50.932102323733915</v>
      </c>
      <c r="U79" s="69">
        <f t="shared" si="106"/>
        <v>23325.17</v>
      </c>
      <c r="V79" s="24">
        <f t="shared" si="107"/>
        <v>0</v>
      </c>
      <c r="W79" s="62">
        <f t="shared" si="108"/>
        <v>0</v>
      </c>
      <c r="X79" s="68">
        <f t="shared" si="109"/>
        <v>0</v>
      </c>
      <c r="Y79" s="48">
        <f t="shared" si="99"/>
        <v>0</v>
      </c>
      <c r="Z79" s="67">
        <f t="shared" si="110"/>
        <v>142.21</v>
      </c>
      <c r="AA79" s="56">
        <f t="shared" si="100"/>
        <v>50.937092970000009</v>
      </c>
      <c r="AB79" s="74">
        <f t="shared" si="101"/>
        <v>23325.17</v>
      </c>
      <c r="AC79" s="74">
        <f t="shared" si="112"/>
        <v>5831.29</v>
      </c>
      <c r="AD79" s="74">
        <f t="shared" ref="AD79:AE79" si="119">+AC79</f>
        <v>5831.29</v>
      </c>
      <c r="AE79" s="74">
        <f t="shared" si="119"/>
        <v>5831.29</v>
      </c>
      <c r="AF79" s="74">
        <f t="shared" si="114"/>
        <v>5831.2999999999993</v>
      </c>
    </row>
    <row r="80" spans="1:32" x14ac:dyDescent="0.35">
      <c r="A80" s="8" t="s">
        <v>157</v>
      </c>
      <c r="B80" t="s">
        <v>158</v>
      </c>
      <c r="C80" t="s">
        <v>250</v>
      </c>
      <c r="D80" s="26">
        <v>43374</v>
      </c>
      <c r="E80" s="26">
        <v>43738</v>
      </c>
      <c r="F80" s="27">
        <v>42</v>
      </c>
      <c r="G80" s="27">
        <v>9763</v>
      </c>
      <c r="H80" s="27">
        <f t="shared" si="90"/>
        <v>9763</v>
      </c>
      <c r="I80" s="28">
        <v>44409</v>
      </c>
      <c r="J80" s="20">
        <v>91.72</v>
      </c>
      <c r="K80" s="20">
        <v>98.088555650000004</v>
      </c>
      <c r="L80" s="20">
        <f t="shared" si="84"/>
        <v>0.39</v>
      </c>
      <c r="M80" s="20">
        <f t="shared" si="85"/>
        <v>3.12</v>
      </c>
      <c r="N80" s="20">
        <v>0.71</v>
      </c>
      <c r="O80" s="20">
        <f t="shared" si="87"/>
        <v>0.48</v>
      </c>
      <c r="P80" s="20">
        <f t="shared" si="93"/>
        <v>102.78855565000001</v>
      </c>
      <c r="Q80" s="20">
        <f t="shared" si="103"/>
        <v>-11.068555650000008</v>
      </c>
      <c r="R80" s="21">
        <f t="shared" si="104"/>
        <v>94.439529780062799</v>
      </c>
      <c r="S80" s="24">
        <f t="shared" si="98"/>
        <v>2.7195297800627998</v>
      </c>
      <c r="T80" s="35">
        <f t="shared" si="105"/>
        <v>-8.3490258699372077</v>
      </c>
      <c r="U80" s="69">
        <f t="shared" si="106"/>
        <v>26550.77</v>
      </c>
      <c r="V80" s="24">
        <f t="shared" si="107"/>
        <v>-8.3490258699372077</v>
      </c>
      <c r="W80" s="62">
        <f t="shared" si="108"/>
        <v>64540.91904699272</v>
      </c>
      <c r="X80" s="68">
        <f t="shared" si="109"/>
        <v>64540.92</v>
      </c>
      <c r="Y80" s="48">
        <f t="shared" si="99"/>
        <v>6.6107671822185798</v>
      </c>
      <c r="Z80" s="67">
        <f t="shared" si="110"/>
        <v>101.05</v>
      </c>
      <c r="AA80" s="56">
        <f t="shared" si="100"/>
        <v>-1.7385556500000092</v>
      </c>
      <c r="AB80" s="74">
        <f t="shared" si="101"/>
        <v>91091.69</v>
      </c>
      <c r="AC80" s="74">
        <f t="shared" si="112"/>
        <v>22772.92</v>
      </c>
      <c r="AD80" s="74">
        <f t="shared" ref="AD80:AE80" si="120">+AC80</f>
        <v>22772.92</v>
      </c>
      <c r="AE80" s="74">
        <f t="shared" si="120"/>
        <v>22772.92</v>
      </c>
      <c r="AF80" s="74">
        <f t="shared" si="114"/>
        <v>22772.930000000008</v>
      </c>
    </row>
    <row r="81" spans="1:32" x14ac:dyDescent="0.35">
      <c r="A81" s="8" t="s">
        <v>159</v>
      </c>
      <c r="B81" t="s">
        <v>160</v>
      </c>
      <c r="C81" t="s">
        <v>251</v>
      </c>
      <c r="D81" s="26">
        <v>43374</v>
      </c>
      <c r="E81" s="26">
        <v>43738</v>
      </c>
      <c r="F81" s="27">
        <v>16</v>
      </c>
      <c r="G81" s="27">
        <v>5840</v>
      </c>
      <c r="H81" s="27">
        <f t="shared" si="90"/>
        <v>5840</v>
      </c>
      <c r="I81" s="28">
        <v>44409</v>
      </c>
      <c r="J81" s="20">
        <v>91.51</v>
      </c>
      <c r="K81" s="20">
        <v>92.788542519999993</v>
      </c>
      <c r="L81" s="20">
        <f t="shared" si="84"/>
        <v>0.37</v>
      </c>
      <c r="M81" s="20">
        <f t="shared" si="85"/>
        <v>2.95</v>
      </c>
      <c r="N81" s="20">
        <v>0.1</v>
      </c>
      <c r="O81" s="20">
        <f t="shared" si="87"/>
        <v>0.45</v>
      </c>
      <c r="P81" s="20">
        <f t="shared" si="93"/>
        <v>96.658542519999997</v>
      </c>
      <c r="Q81" s="20">
        <f t="shared" si="103"/>
        <v>-5.1485425199999924</v>
      </c>
      <c r="R81" s="21">
        <f t="shared" si="104"/>
        <v>94.223303207299907</v>
      </c>
      <c r="S81" s="24">
        <f t="shared" si="98"/>
        <v>2.7133032072999015</v>
      </c>
      <c r="T81" s="35">
        <f t="shared" si="105"/>
        <v>-2.4352393127000909</v>
      </c>
      <c r="U81" s="69">
        <f t="shared" si="106"/>
        <v>15845.69</v>
      </c>
      <c r="V81" s="24">
        <f t="shared" si="107"/>
        <v>-2.4352393127000909</v>
      </c>
      <c r="W81" s="62">
        <f t="shared" si="108"/>
        <v>14221.79758616853</v>
      </c>
      <c r="X81" s="68">
        <f t="shared" si="109"/>
        <v>14221.8</v>
      </c>
      <c r="Y81" s="48">
        <f t="shared" si="99"/>
        <v>2.435239726027397</v>
      </c>
      <c r="Z81" s="67">
        <f t="shared" si="110"/>
        <v>96.66</v>
      </c>
      <c r="AA81" s="56">
        <f t="shared" si="100"/>
        <v>1.4574799999991228E-3</v>
      </c>
      <c r="AB81" s="74">
        <f t="shared" si="101"/>
        <v>30067.489999999998</v>
      </c>
      <c r="AC81" s="74">
        <f t="shared" si="112"/>
        <v>7516.87</v>
      </c>
      <c r="AD81" s="74">
        <f t="shared" ref="AD81:AE81" si="121">+AC81</f>
        <v>7516.87</v>
      </c>
      <c r="AE81" s="74">
        <f t="shared" si="121"/>
        <v>7516.87</v>
      </c>
      <c r="AF81" s="74">
        <f t="shared" si="114"/>
        <v>7516.8799999999974</v>
      </c>
    </row>
    <row r="82" spans="1:32" x14ac:dyDescent="0.35">
      <c r="A82" s="8" t="s">
        <v>161</v>
      </c>
      <c r="B82" t="s">
        <v>162</v>
      </c>
      <c r="C82" t="s">
        <v>252</v>
      </c>
      <c r="D82" s="26">
        <v>43374</v>
      </c>
      <c r="E82" s="26">
        <v>43738</v>
      </c>
      <c r="F82" s="27">
        <v>13</v>
      </c>
      <c r="G82" s="27">
        <v>4745</v>
      </c>
      <c r="H82" s="27">
        <f t="shared" si="90"/>
        <v>4745</v>
      </c>
      <c r="I82" s="28">
        <v>44409</v>
      </c>
      <c r="J82" s="20">
        <v>79.09</v>
      </c>
      <c r="K82" s="20">
        <v>80.935482010000001</v>
      </c>
      <c r="L82" s="20">
        <f t="shared" si="84"/>
        <v>0.32</v>
      </c>
      <c r="M82" s="20">
        <f t="shared" si="85"/>
        <v>2.58</v>
      </c>
      <c r="N82" s="20">
        <v>0</v>
      </c>
      <c r="O82" s="20">
        <f t="shared" ref="O82:O89" si="122">ROUND(SUM(K82:N82)*0.0047,2)</f>
        <v>0.39</v>
      </c>
      <c r="P82" s="20">
        <f t="shared" si="93"/>
        <v>84.225482009999993</v>
      </c>
      <c r="Q82" s="20">
        <f t="shared" si="103"/>
        <v>-5.1354820099999898</v>
      </c>
      <c r="R82" s="21">
        <f t="shared" si="104"/>
        <v>81.435045903894107</v>
      </c>
      <c r="S82" s="24">
        <f t="shared" si="98"/>
        <v>2.3450459038941034</v>
      </c>
      <c r="T82" s="35">
        <f t="shared" si="105"/>
        <v>-2.7904361061058864</v>
      </c>
      <c r="U82" s="69">
        <f t="shared" si="106"/>
        <v>11127.24</v>
      </c>
      <c r="V82" s="24">
        <f t="shared" si="107"/>
        <v>-2.7904361061058864</v>
      </c>
      <c r="W82" s="62">
        <f t="shared" si="108"/>
        <v>13240.619323472431</v>
      </c>
      <c r="X82" s="68">
        <f t="shared" si="109"/>
        <v>13240.62</v>
      </c>
      <c r="Y82" s="48">
        <f t="shared" si="99"/>
        <v>2.7904362486828242</v>
      </c>
      <c r="Z82" s="67">
        <f t="shared" si="110"/>
        <v>84.23</v>
      </c>
      <c r="AA82" s="56">
        <f t="shared" si="100"/>
        <v>4.5179900000107409E-3</v>
      </c>
      <c r="AB82" s="74">
        <f t="shared" si="101"/>
        <v>24367.86</v>
      </c>
      <c r="AC82" s="74">
        <f t="shared" si="112"/>
        <v>6091.97</v>
      </c>
      <c r="AD82" s="74">
        <f t="shared" ref="AD82:AE82" si="123">+AC82</f>
        <v>6091.97</v>
      </c>
      <c r="AE82" s="74">
        <f t="shared" si="123"/>
        <v>6091.97</v>
      </c>
      <c r="AF82" s="74">
        <f t="shared" si="114"/>
        <v>6091.9500000000007</v>
      </c>
    </row>
    <row r="83" spans="1:32" x14ac:dyDescent="0.35">
      <c r="A83" s="8" t="s">
        <v>164</v>
      </c>
      <c r="B83" t="s">
        <v>165</v>
      </c>
      <c r="C83" t="s">
        <v>253</v>
      </c>
      <c r="D83" s="26">
        <v>43374</v>
      </c>
      <c r="E83" s="26">
        <v>43738</v>
      </c>
      <c r="F83" s="27">
        <v>17</v>
      </c>
      <c r="G83" s="27">
        <v>5934</v>
      </c>
      <c r="H83" s="27">
        <f t="shared" si="90"/>
        <v>5934</v>
      </c>
      <c r="I83" s="28">
        <v>44409</v>
      </c>
      <c r="J83" s="20">
        <v>115.03</v>
      </c>
      <c r="K83" s="20">
        <v>105.20102934000001</v>
      </c>
      <c r="L83" s="20">
        <f t="shared" si="84"/>
        <v>0.42</v>
      </c>
      <c r="M83" s="20">
        <f t="shared" si="85"/>
        <v>3.35</v>
      </c>
      <c r="N83" s="20">
        <v>0</v>
      </c>
      <c r="O83" s="20">
        <f t="shared" si="122"/>
        <v>0.51</v>
      </c>
      <c r="P83" s="20">
        <f t="shared" si="93"/>
        <v>109.48102934000001</v>
      </c>
      <c r="Q83" s="20">
        <f t="shared" si="103"/>
        <v>5.5489706599999948</v>
      </c>
      <c r="R83" s="21">
        <f t="shared" si="104"/>
        <v>118.4406793567447</v>
      </c>
      <c r="S83" s="24">
        <f t="shared" si="98"/>
        <v>3.4106793567446942</v>
      </c>
      <c r="T83" s="35">
        <f t="shared" si="105"/>
        <v>8.9596500167446891</v>
      </c>
      <c r="U83" s="69">
        <f t="shared" si="106"/>
        <v>20238.97</v>
      </c>
      <c r="V83" s="24">
        <f t="shared" si="107"/>
        <v>0</v>
      </c>
      <c r="W83" s="62">
        <f t="shared" si="108"/>
        <v>0</v>
      </c>
      <c r="X83" s="68">
        <f t="shared" si="109"/>
        <v>0</v>
      </c>
      <c r="Y83" s="48">
        <f t="shared" si="99"/>
        <v>0</v>
      </c>
      <c r="Z83" s="67">
        <f t="shared" si="110"/>
        <v>118.44</v>
      </c>
      <c r="AA83" s="56">
        <f t="shared" si="100"/>
        <v>8.9589706599999914</v>
      </c>
      <c r="AB83" s="74">
        <f t="shared" si="101"/>
        <v>20238.97</v>
      </c>
      <c r="AC83" s="74">
        <f t="shared" si="112"/>
        <v>5059.74</v>
      </c>
      <c r="AD83" s="74">
        <f t="shared" ref="AD83:AE83" si="124">+AC83</f>
        <v>5059.74</v>
      </c>
      <c r="AE83" s="74">
        <f t="shared" si="124"/>
        <v>5059.74</v>
      </c>
      <c r="AF83" s="74">
        <f t="shared" si="114"/>
        <v>5059.7500000000018</v>
      </c>
    </row>
    <row r="84" spans="1:32" s="1" customFormat="1" x14ac:dyDescent="0.35">
      <c r="A84" s="8" t="s">
        <v>166</v>
      </c>
      <c r="B84" t="s">
        <v>167</v>
      </c>
      <c r="C84" t="s">
        <v>254</v>
      </c>
      <c r="D84" s="26">
        <v>43374</v>
      </c>
      <c r="E84" s="26">
        <v>43738</v>
      </c>
      <c r="F84" s="27">
        <v>30</v>
      </c>
      <c r="G84" s="27">
        <v>7949</v>
      </c>
      <c r="H84" s="27">
        <f t="shared" si="90"/>
        <v>7949</v>
      </c>
      <c r="I84" s="28">
        <v>44409</v>
      </c>
      <c r="J84" s="20">
        <v>122.19</v>
      </c>
      <c r="K84" s="20">
        <v>128.34972586000001</v>
      </c>
      <c r="L84" s="20">
        <f t="shared" si="84"/>
        <v>0.51</v>
      </c>
      <c r="M84" s="20">
        <f t="shared" si="85"/>
        <v>4.08</v>
      </c>
      <c r="N84" s="20">
        <v>0.32</v>
      </c>
      <c r="O84" s="20">
        <f t="shared" si="122"/>
        <v>0.63</v>
      </c>
      <c r="P84" s="20">
        <f t="shared" si="93"/>
        <v>133.88972586</v>
      </c>
      <c r="Q84" s="20">
        <f t="shared" si="103"/>
        <v>-11.699725860000001</v>
      </c>
      <c r="R84" s="21">
        <f t="shared" si="104"/>
        <v>125.8129758376131</v>
      </c>
      <c r="S84" s="24">
        <f t="shared" si="98"/>
        <v>3.6229758376130974</v>
      </c>
      <c r="T84" s="35">
        <f t="shared" si="105"/>
        <v>-8.0767500223869035</v>
      </c>
      <c r="U84" s="69">
        <f t="shared" si="106"/>
        <v>28799.03</v>
      </c>
      <c r="V84" s="24">
        <f t="shared" si="107"/>
        <v>-8.0767500223869035</v>
      </c>
      <c r="W84" s="62">
        <f t="shared" si="108"/>
        <v>64202.0859279535</v>
      </c>
      <c r="X84" s="68">
        <f t="shared" si="109"/>
        <v>64202.09</v>
      </c>
      <c r="Y84" s="48">
        <f t="shared" si="99"/>
        <v>8.0767505346584478</v>
      </c>
      <c r="Z84" s="67">
        <f t="shared" si="110"/>
        <v>133.88999999999999</v>
      </c>
      <c r="AA84" s="56">
        <f t="shared" si="100"/>
        <v>2.7413999998771033E-4</v>
      </c>
      <c r="AB84" s="74">
        <f t="shared" si="101"/>
        <v>93001.12</v>
      </c>
      <c r="AC84" s="74">
        <f t="shared" si="112"/>
        <v>23250.28</v>
      </c>
      <c r="AD84" s="74">
        <f t="shared" ref="AD84:AE84" si="125">+AC84</f>
        <v>23250.28</v>
      </c>
      <c r="AE84" s="74">
        <f t="shared" si="125"/>
        <v>23250.28</v>
      </c>
      <c r="AF84" s="74">
        <f t="shared" si="114"/>
        <v>23250.28</v>
      </c>
    </row>
    <row r="85" spans="1:32" x14ac:dyDescent="0.35">
      <c r="A85" s="8" t="s">
        <v>168</v>
      </c>
      <c r="B85" t="s">
        <v>169</v>
      </c>
      <c r="C85" t="s">
        <v>255</v>
      </c>
      <c r="D85" s="26">
        <v>43374</v>
      </c>
      <c r="E85" s="26">
        <v>43738</v>
      </c>
      <c r="F85" s="27">
        <v>11</v>
      </c>
      <c r="G85" s="27">
        <v>3975</v>
      </c>
      <c r="H85" s="27">
        <f t="shared" si="90"/>
        <v>3975</v>
      </c>
      <c r="I85" s="28">
        <v>44409</v>
      </c>
      <c r="J85" s="20">
        <v>102.63</v>
      </c>
      <c r="K85" s="20">
        <v>94.955901109999999</v>
      </c>
      <c r="L85" s="20">
        <f t="shared" si="84"/>
        <v>0.38</v>
      </c>
      <c r="M85" s="20">
        <f t="shared" si="85"/>
        <v>3.02</v>
      </c>
      <c r="N85" s="20">
        <v>1.1200000000000001</v>
      </c>
      <c r="O85" s="20">
        <f t="shared" si="122"/>
        <v>0.47</v>
      </c>
      <c r="P85" s="20">
        <f t="shared" si="93"/>
        <v>99.945901109999994</v>
      </c>
      <c r="Q85" s="20">
        <f t="shared" si="103"/>
        <v>2.6840988900000013</v>
      </c>
      <c r="R85" s="21">
        <f t="shared" si="104"/>
        <v>105.6730150602687</v>
      </c>
      <c r="S85" s="24">
        <f t="shared" si="98"/>
        <v>3.0430150602687007</v>
      </c>
      <c r="T85" s="35">
        <f t="shared" si="105"/>
        <v>5.7271139502687021</v>
      </c>
      <c r="U85" s="69">
        <f t="shared" si="106"/>
        <v>12095.98</v>
      </c>
      <c r="V85" s="24">
        <f t="shared" si="107"/>
        <v>0</v>
      </c>
      <c r="W85" s="62">
        <f t="shared" si="108"/>
        <v>0</v>
      </c>
      <c r="X85" s="68">
        <f t="shared" si="109"/>
        <v>0</v>
      </c>
      <c r="Y85" s="48">
        <f t="shared" si="99"/>
        <v>0</v>
      </c>
      <c r="Z85" s="67">
        <f t="shared" si="110"/>
        <v>105.67</v>
      </c>
      <c r="AA85" s="56">
        <f t="shared" si="100"/>
        <v>5.7240988900000076</v>
      </c>
      <c r="AB85" s="74">
        <f t="shared" si="101"/>
        <v>12095.98</v>
      </c>
      <c r="AC85" s="74">
        <f t="shared" si="112"/>
        <v>3024</v>
      </c>
      <c r="AD85" s="74">
        <f t="shared" ref="AD85:AE85" si="126">+AC85</f>
        <v>3024</v>
      </c>
      <c r="AE85" s="74">
        <f t="shared" si="126"/>
        <v>3024</v>
      </c>
      <c r="AF85" s="74">
        <f t="shared" si="114"/>
        <v>3023.9799999999996</v>
      </c>
    </row>
    <row r="86" spans="1:32" x14ac:dyDescent="0.35">
      <c r="A86" s="8" t="s">
        <v>170</v>
      </c>
      <c r="B86" t="s">
        <v>171</v>
      </c>
      <c r="C86" t="s">
        <v>256</v>
      </c>
      <c r="D86" s="26">
        <v>43374</v>
      </c>
      <c r="E86" s="26">
        <v>43738</v>
      </c>
      <c r="F86" s="27">
        <v>11</v>
      </c>
      <c r="G86" s="27">
        <v>2794</v>
      </c>
      <c r="H86" s="27">
        <f t="shared" si="90"/>
        <v>2794</v>
      </c>
      <c r="I86" s="28">
        <v>44409</v>
      </c>
      <c r="J86" s="20">
        <v>95.04</v>
      </c>
      <c r="K86" s="20">
        <v>100.38687774</v>
      </c>
      <c r="L86" s="20">
        <f t="shared" si="84"/>
        <v>0.4</v>
      </c>
      <c r="M86" s="20">
        <f t="shared" si="85"/>
        <v>3.19</v>
      </c>
      <c r="N86" s="20">
        <v>0</v>
      </c>
      <c r="O86" s="20">
        <f t="shared" si="122"/>
        <v>0.49</v>
      </c>
      <c r="P86" s="20">
        <f t="shared" si="93"/>
        <v>104.46687774</v>
      </c>
      <c r="Q86" s="20">
        <f t="shared" si="103"/>
        <v>-9.4268777399999948</v>
      </c>
      <c r="R86" s="21">
        <f t="shared" si="104"/>
        <v>97.857968930409598</v>
      </c>
      <c r="S86" s="24">
        <f t="shared" si="98"/>
        <v>2.8179689304095916</v>
      </c>
      <c r="T86" s="35">
        <f t="shared" si="105"/>
        <v>-6.6089088095904032</v>
      </c>
      <c r="U86" s="69">
        <f t="shared" si="106"/>
        <v>7873.41</v>
      </c>
      <c r="V86" s="24">
        <f t="shared" si="107"/>
        <v>-6.6089088095904032</v>
      </c>
      <c r="W86" s="62">
        <f>IF(-V86/R86&lt;$P$3,H86*-V86,R86*$P$3*H86)</f>
        <v>18465.291213995588</v>
      </c>
      <c r="X86" s="68">
        <f t="shared" si="109"/>
        <v>18465.29</v>
      </c>
      <c r="Y86" s="48">
        <f t="shared" si="99"/>
        <v>6.6089083750894781</v>
      </c>
      <c r="Z86" s="67">
        <f t="shared" si="110"/>
        <v>104.47</v>
      </c>
      <c r="AA86" s="56">
        <f t="shared" si="100"/>
        <v>3.1222599999978229E-3</v>
      </c>
      <c r="AB86" s="74">
        <f t="shared" si="101"/>
        <v>26338.7</v>
      </c>
      <c r="AC86" s="74">
        <f t="shared" si="112"/>
        <v>6584.68</v>
      </c>
      <c r="AD86" s="74">
        <f t="shared" ref="AD86:AE86" si="127">+AC86</f>
        <v>6584.68</v>
      </c>
      <c r="AE86" s="74">
        <f t="shared" si="127"/>
        <v>6584.68</v>
      </c>
      <c r="AF86" s="74">
        <f t="shared" si="114"/>
        <v>6584.66</v>
      </c>
    </row>
    <row r="87" spans="1:32" x14ac:dyDescent="0.35">
      <c r="A87" s="8" t="s">
        <v>172</v>
      </c>
      <c r="B87" t="s">
        <v>173</v>
      </c>
      <c r="C87" t="s">
        <v>257</v>
      </c>
      <c r="D87" s="26">
        <v>43374</v>
      </c>
      <c r="E87" s="26">
        <v>43738</v>
      </c>
      <c r="F87" s="27">
        <v>41</v>
      </c>
      <c r="G87" s="27">
        <v>13005</v>
      </c>
      <c r="H87" s="27">
        <f t="shared" si="90"/>
        <v>13005</v>
      </c>
      <c r="I87" s="28">
        <v>44409</v>
      </c>
      <c r="J87" s="20">
        <v>72.849999999999994</v>
      </c>
      <c r="K87" s="20">
        <v>71.306555779999997</v>
      </c>
      <c r="L87" s="20">
        <f t="shared" si="84"/>
        <v>0.28999999999999998</v>
      </c>
      <c r="M87" s="20">
        <f t="shared" si="85"/>
        <v>2.27</v>
      </c>
      <c r="N87" s="20">
        <v>0.12</v>
      </c>
      <c r="O87" s="20">
        <f t="shared" si="122"/>
        <v>0.35</v>
      </c>
      <c r="P87" s="20">
        <f t="shared" si="93"/>
        <v>74.336555779999998</v>
      </c>
      <c r="Q87" s="20">
        <f t="shared" si="103"/>
        <v>-1.4865557800000033</v>
      </c>
      <c r="R87" s="21">
        <f t="shared" si="104"/>
        <v>75.010027741796492</v>
      </c>
      <c r="S87" s="24">
        <f t="shared" si="98"/>
        <v>2.1600277417964975</v>
      </c>
      <c r="T87" s="35">
        <f t="shared" si="105"/>
        <v>0.67347196179649416</v>
      </c>
      <c r="U87" s="69">
        <f t="shared" si="106"/>
        <v>28091.16</v>
      </c>
      <c r="V87" s="24">
        <f t="shared" si="107"/>
        <v>0</v>
      </c>
      <c r="W87" s="62">
        <f t="shared" si="108"/>
        <v>0</v>
      </c>
      <c r="X87" s="68">
        <f t="shared" si="109"/>
        <v>0</v>
      </c>
      <c r="Y87" s="48">
        <f t="shared" si="99"/>
        <v>0</v>
      </c>
      <c r="Z87" s="67">
        <f t="shared" si="110"/>
        <v>75.010000000000005</v>
      </c>
      <c r="AA87" s="56">
        <f t="shared" si="100"/>
        <v>0.67344422000000748</v>
      </c>
      <c r="AB87" s="74">
        <f t="shared" si="101"/>
        <v>28091.16</v>
      </c>
      <c r="AC87" s="74">
        <f t="shared" si="112"/>
        <v>7022.79</v>
      </c>
      <c r="AD87" s="74">
        <f t="shared" ref="AD87:AE87" si="128">+AC87</f>
        <v>7022.79</v>
      </c>
      <c r="AE87" s="74">
        <f t="shared" si="128"/>
        <v>7022.79</v>
      </c>
      <c r="AF87" s="74">
        <f t="shared" si="114"/>
        <v>7022.7900000000009</v>
      </c>
    </row>
    <row r="88" spans="1:32" x14ac:dyDescent="0.35">
      <c r="A88" s="8" t="s">
        <v>174</v>
      </c>
      <c r="B88" t="s">
        <v>175</v>
      </c>
      <c r="C88" t="s">
        <v>258</v>
      </c>
      <c r="D88" s="26">
        <v>43374</v>
      </c>
      <c r="E88" s="26">
        <v>43738</v>
      </c>
      <c r="F88" s="27">
        <v>15</v>
      </c>
      <c r="G88" s="27">
        <v>4948</v>
      </c>
      <c r="H88" s="27">
        <f t="shared" si="90"/>
        <v>4948</v>
      </c>
      <c r="I88" s="28">
        <v>44409</v>
      </c>
      <c r="J88" s="20">
        <v>85.68</v>
      </c>
      <c r="K88" s="20">
        <v>81.684757529999999</v>
      </c>
      <c r="L88" s="20">
        <f t="shared" si="84"/>
        <v>0.33</v>
      </c>
      <c r="M88" s="20">
        <f t="shared" si="85"/>
        <v>2.6</v>
      </c>
      <c r="N88" s="20">
        <v>0</v>
      </c>
      <c r="O88" s="20">
        <f t="shared" si="122"/>
        <v>0.4</v>
      </c>
      <c r="P88" s="20">
        <f t="shared" si="93"/>
        <v>85.014757529999997</v>
      </c>
      <c r="Q88" s="20">
        <f t="shared" si="103"/>
        <v>0.66524247000000969</v>
      </c>
      <c r="R88" s="21">
        <f t="shared" si="104"/>
        <v>88.220441687263204</v>
      </c>
      <c r="S88" s="24">
        <f t="shared" si="98"/>
        <v>2.540441687263197</v>
      </c>
      <c r="T88" s="35">
        <f t="shared" si="105"/>
        <v>3.2056841572632067</v>
      </c>
      <c r="U88" s="69">
        <f t="shared" si="106"/>
        <v>12570.11</v>
      </c>
      <c r="V88" s="24">
        <f t="shared" si="107"/>
        <v>0</v>
      </c>
      <c r="W88" s="62">
        <f t="shared" si="108"/>
        <v>0</v>
      </c>
      <c r="X88" s="68">
        <f t="shared" si="109"/>
        <v>0</v>
      </c>
      <c r="Y88" s="48">
        <f t="shared" si="99"/>
        <v>0</v>
      </c>
      <c r="Z88" s="67">
        <f t="shared" si="110"/>
        <v>88.22</v>
      </c>
      <c r="AA88" s="56">
        <f t="shared" si="100"/>
        <v>3.2052424700000017</v>
      </c>
      <c r="AB88" s="74">
        <f t="shared" si="101"/>
        <v>12570.11</v>
      </c>
      <c r="AC88" s="74">
        <f t="shared" si="112"/>
        <v>3142.53</v>
      </c>
      <c r="AD88" s="74">
        <f t="shared" ref="AD88:AE88" si="129">+AC88</f>
        <v>3142.53</v>
      </c>
      <c r="AE88" s="74">
        <f t="shared" si="129"/>
        <v>3142.53</v>
      </c>
      <c r="AF88" s="74">
        <f t="shared" si="114"/>
        <v>3142.5200000000004</v>
      </c>
    </row>
    <row r="89" spans="1:32" ht="15" thickBot="1" x14ac:dyDescent="0.4">
      <c r="A89" s="12" t="s">
        <v>176</v>
      </c>
      <c r="B89" s="13" t="s">
        <v>177</v>
      </c>
      <c r="C89" s="13" t="s">
        <v>259</v>
      </c>
      <c r="D89" s="14">
        <v>43374</v>
      </c>
      <c r="E89" s="14">
        <v>43738</v>
      </c>
      <c r="F89" s="15">
        <v>42</v>
      </c>
      <c r="G89" s="15">
        <v>4664</v>
      </c>
      <c r="H89" s="15">
        <f t="shared" si="90"/>
        <v>4664</v>
      </c>
      <c r="I89" s="16">
        <v>44409</v>
      </c>
      <c r="J89" s="10">
        <v>70.69</v>
      </c>
      <c r="K89" s="10">
        <v>74.917404559999994</v>
      </c>
      <c r="L89" s="10">
        <f t="shared" si="84"/>
        <v>0.3</v>
      </c>
      <c r="M89" s="10">
        <f t="shared" si="85"/>
        <v>2.38</v>
      </c>
      <c r="N89" s="10">
        <v>0.08</v>
      </c>
      <c r="O89" s="10">
        <f t="shared" si="122"/>
        <v>0.37</v>
      </c>
      <c r="P89" s="10">
        <f t="shared" si="93"/>
        <v>78.04740455999999</v>
      </c>
      <c r="Q89" s="10">
        <f t="shared" si="103"/>
        <v>-7.357404559999992</v>
      </c>
      <c r="R89" s="23">
        <f t="shared" si="104"/>
        <v>72.785982993378099</v>
      </c>
      <c r="S89" s="19">
        <f t="shared" si="98"/>
        <v>2.0959829933781009</v>
      </c>
      <c r="T89" s="19">
        <f t="shared" si="105"/>
        <v>-5.2614215666218911</v>
      </c>
      <c r="U89" s="69">
        <f t="shared" si="106"/>
        <v>9775.66</v>
      </c>
      <c r="V89" s="23">
        <f>IF(T89&lt;0,T89*$V$1,0)</f>
        <v>-5.2614215666218911</v>
      </c>
      <c r="W89" s="62">
        <f t="shared" si="108"/>
        <v>23763.167727678087</v>
      </c>
      <c r="X89" s="68">
        <f t="shared" si="109"/>
        <v>23763.17</v>
      </c>
      <c r="Y89" s="49">
        <f t="shared" si="99"/>
        <v>5.0950192967409942</v>
      </c>
      <c r="Z89" s="67">
        <f t="shared" si="110"/>
        <v>77.88</v>
      </c>
      <c r="AA89" s="56">
        <f t="shared" si="100"/>
        <v>-0.16740455999999426</v>
      </c>
      <c r="AB89" s="74">
        <f>+X89+U89</f>
        <v>33538.83</v>
      </c>
      <c r="AC89" s="74">
        <f t="shared" si="112"/>
        <v>8384.7099999999991</v>
      </c>
      <c r="AD89" s="74">
        <f t="shared" ref="AD89:AE89" si="130">+AC89</f>
        <v>8384.7099999999991</v>
      </c>
      <c r="AE89" s="74">
        <f t="shared" si="130"/>
        <v>8384.7099999999991</v>
      </c>
      <c r="AF89" s="74">
        <f t="shared" si="114"/>
        <v>8384.7000000000044</v>
      </c>
    </row>
    <row r="90" spans="1:32" ht="9.75" customHeight="1" x14ac:dyDescent="0.35">
      <c r="D90" s="26"/>
      <c r="E90" s="26"/>
      <c r="F90" s="27"/>
      <c r="G90" s="27"/>
      <c r="H90" s="27"/>
      <c r="I90" s="28"/>
      <c r="J90" s="20"/>
      <c r="K90" s="20"/>
      <c r="L90" s="20"/>
      <c r="M90" s="20"/>
      <c r="N90" s="20"/>
      <c r="O90" s="20"/>
      <c r="P90" s="20"/>
      <c r="Q90" s="20"/>
      <c r="R90" s="9"/>
      <c r="S90" s="28"/>
      <c r="T90" s="28"/>
      <c r="U90" s="28"/>
      <c r="V90" s="28"/>
      <c r="W90" s="28"/>
      <c r="X90" s="28"/>
      <c r="Y90" s="28"/>
      <c r="Z90" s="28"/>
    </row>
    <row r="91" spans="1:32" x14ac:dyDescent="0.35">
      <c r="D91" s="26"/>
      <c r="E91" s="26"/>
      <c r="F91" s="27"/>
      <c r="G91" s="27"/>
      <c r="H91" s="27">
        <f>SUM(H8:H90)</f>
        <v>683604</v>
      </c>
      <c r="I91" s="28"/>
      <c r="J91" s="20">
        <f>SUMPRODUCT(J8:J89,$H$8:$H$89)/SUM($H$8:$H$89)</f>
        <v>104.11465943733505</v>
      </c>
      <c r="K91" s="20"/>
      <c r="L91" s="20"/>
      <c r="M91" s="20"/>
      <c r="N91" s="20"/>
      <c r="O91" s="20"/>
      <c r="P91" s="20">
        <f>SUMPRODUCT(P8:P89,$H$8:$H$89)/SUM($H$8:$H$89)</f>
        <v>107.71428899345163</v>
      </c>
      <c r="Q91" s="20">
        <f>SUMPRODUCT(Q8:Q89,$H$8:$H$89)/SUM($H$8:$H$89)</f>
        <v>-3.5996295561165121</v>
      </c>
      <c r="R91" s="20">
        <f>SUMPRODUCT(R8:R89,$H$8:$H$89)/SUM($H$8:$H$89)</f>
        <v>107.20169516434039</v>
      </c>
      <c r="S91" s="20"/>
      <c r="T91" s="20"/>
      <c r="U91" s="29">
        <f>SUM(U8:U90)</f>
        <v>2110309.94</v>
      </c>
      <c r="V91" s="20">
        <f>SUMPRODUCT(V8:V89,$H$8:$H$89)/SUM($H$8:$H$89)</f>
        <v>-3.5894637103423728</v>
      </c>
      <c r="W91" s="20"/>
      <c r="X91" s="22">
        <f>SUM(X8:X89)</f>
        <v>1589690.0600000003</v>
      </c>
      <c r="Y91" s="20">
        <f>SUMPRODUCT(Y8:Y89,$H$8:$H$89)/SUM($H$8:$H$89)</f>
        <v>2.3254545906694521</v>
      </c>
      <c r="Z91" s="20">
        <f>SUMPRODUCT(Z8:Z89,$H$8:$H$89)/SUM($H$8:$H$89)</f>
        <v>109.52745756315056</v>
      </c>
      <c r="AA91" s="57">
        <f>SUMPRODUCT(AA8:AA89,$H$8:$H$89)/SUM($H$8:$H$89)</f>
        <v>1.813168569699019</v>
      </c>
      <c r="AB91" s="22">
        <f>SUM(AB8:AB89)</f>
        <v>3700000.0000000005</v>
      </c>
      <c r="AC91" s="22">
        <f t="shared" ref="AC91:AE91" si="131">SUM(AC8:AC90)</f>
        <v>925000.09000000032</v>
      </c>
      <c r="AD91" s="22">
        <f t="shared" si="131"/>
        <v>925000.09000000032</v>
      </c>
      <c r="AE91" s="22">
        <f t="shared" si="131"/>
        <v>925000.09000000032</v>
      </c>
      <c r="AF91" s="22">
        <f>SUM(AF8:AF90)</f>
        <v>924999.73000000021</v>
      </c>
    </row>
    <row r="92" spans="1:32" x14ac:dyDescent="0.35">
      <c r="D92" s="26"/>
      <c r="E92" s="26"/>
      <c r="F92" s="27"/>
      <c r="G92" s="27"/>
      <c r="H92" s="27"/>
      <c r="I92" s="28"/>
      <c r="J92" s="20"/>
      <c r="K92" s="20"/>
      <c r="L92" s="20"/>
      <c r="M92" s="20"/>
      <c r="N92" s="20"/>
      <c r="O92" s="20"/>
      <c r="P92" s="20"/>
      <c r="Q92" s="20"/>
      <c r="R92" s="28"/>
      <c r="S92" s="28"/>
      <c r="T92" s="28"/>
      <c r="U92" s="28"/>
      <c r="V92" s="28"/>
      <c r="W92" s="28"/>
      <c r="X92" s="28"/>
      <c r="Z92" s="28"/>
    </row>
    <row r="93" spans="1:32" x14ac:dyDescent="0.35">
      <c r="D93" s="26"/>
      <c r="E93" s="26"/>
      <c r="F93" s="27"/>
      <c r="G93" s="27"/>
      <c r="H93" s="27"/>
      <c r="I93" s="28"/>
      <c r="J93" s="20"/>
      <c r="K93" s="20"/>
      <c r="L93" s="20"/>
      <c r="M93" s="20"/>
      <c r="N93" s="20"/>
      <c r="O93" s="20"/>
      <c r="P93" s="20"/>
      <c r="Q93" s="20"/>
      <c r="R93" s="28"/>
      <c r="S93" s="28"/>
      <c r="T93" s="28"/>
      <c r="U93" s="28"/>
      <c r="V93" s="28"/>
      <c r="W93" s="28"/>
      <c r="X93" s="28"/>
      <c r="Y93" s="51"/>
      <c r="Z93" s="28"/>
    </row>
    <row r="94" spans="1:32" x14ac:dyDescent="0.35">
      <c r="D94" s="26"/>
      <c r="E94" s="26"/>
      <c r="F94" s="27"/>
      <c r="G94" s="27"/>
      <c r="H94" s="27"/>
      <c r="I94" s="28"/>
      <c r="J94" s="20"/>
      <c r="K94" s="20"/>
      <c r="L94" s="20"/>
      <c r="M94" s="20"/>
      <c r="N94" s="20"/>
      <c r="O94" s="20"/>
      <c r="Q94" t="s">
        <v>292</v>
      </c>
      <c r="R94" s="28"/>
      <c r="S94" s="28"/>
      <c r="T94" t="s">
        <v>292</v>
      </c>
      <c r="U94" s="28"/>
      <c r="V94" s="28"/>
      <c r="W94" s="28"/>
      <c r="X94" s="28"/>
      <c r="Y94" s="28"/>
      <c r="Z94" s="28"/>
    </row>
    <row r="95" spans="1:32" x14ac:dyDescent="0.35">
      <c r="A95" s="71" t="s">
        <v>282</v>
      </c>
      <c r="B95" s="71"/>
      <c r="Q95">
        <f>COUNTIF(Q8:Q89,"&lt;0")</f>
        <v>51</v>
      </c>
      <c r="T95">
        <f>COUNTIF(T8:T89,"&lt;0")</f>
        <v>40</v>
      </c>
    </row>
    <row r="96" spans="1:32" ht="15" customHeight="1" x14ac:dyDescent="0.35">
      <c r="A96" s="71"/>
      <c r="B96" s="71"/>
    </row>
    <row r="97" spans="1:2" x14ac:dyDescent="0.35">
      <c r="A97" s="33"/>
      <c r="B97" s="33" t="s">
        <v>275</v>
      </c>
    </row>
    <row r="98" spans="1:2" x14ac:dyDescent="0.35">
      <c r="A98" s="33"/>
      <c r="B98" s="33" t="s">
        <v>276</v>
      </c>
    </row>
    <row r="99" spans="1:2" x14ac:dyDescent="0.35">
      <c r="A99" s="33"/>
      <c r="B99" s="33" t="s">
        <v>79</v>
      </c>
    </row>
    <row r="100" spans="1:2" x14ac:dyDescent="0.35">
      <c r="A100" s="33"/>
      <c r="B100" s="33" t="s">
        <v>120</v>
      </c>
    </row>
    <row r="101" spans="1:2" x14ac:dyDescent="0.35">
      <c r="A101" s="33"/>
      <c r="B101" s="33" t="s">
        <v>261</v>
      </c>
    </row>
    <row r="102" spans="1:2" x14ac:dyDescent="0.35">
      <c r="B102" s="33" t="s">
        <v>268</v>
      </c>
    </row>
    <row r="103" spans="1:2" x14ac:dyDescent="0.35">
      <c r="B103" s="33" t="s">
        <v>277</v>
      </c>
    </row>
    <row r="104" spans="1:2" x14ac:dyDescent="0.35">
      <c r="B104" s="33" t="s">
        <v>278</v>
      </c>
    </row>
    <row r="105" spans="1:2" x14ac:dyDescent="0.35">
      <c r="B105" s="33" t="s">
        <v>163</v>
      </c>
    </row>
  </sheetData>
  <sortState xmlns:xlrd2="http://schemas.microsoft.com/office/spreadsheetml/2017/richdata2" ref="B97:B105">
    <sortCondition ref="B97:B105"/>
  </sortState>
  <mergeCells count="3">
    <mergeCell ref="R6:U6"/>
    <mergeCell ref="A95:B96"/>
    <mergeCell ref="V6:Z6"/>
  </mergeCells>
  <pageMargins left="0.7" right="0.7" top="0.75" bottom="0.75" header="0.3" footer="0.3"/>
  <pageSetup scale="5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$3.7m 2.965% with Stop Gain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Whitburn, Brandon</dc:creator>
  <cp:lastModifiedBy>Wysocki, Richard</cp:lastModifiedBy>
  <dcterms:created xsi:type="dcterms:W3CDTF">2022-03-01T15:43:55Z</dcterms:created>
  <dcterms:modified xsi:type="dcterms:W3CDTF">2022-07-08T11:28:44Z</dcterms:modified>
</cp:coreProperties>
</file>