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3760" tabRatio="808" activeTab="0"/>
  </bookViews>
  <sheets>
    <sheet name="P1 Info &amp; Certification" sheetId="1" r:id="rId1"/>
    <sheet name="P2 Service Sites &amp; Rel. Parties" sheetId="2" r:id="rId2"/>
    <sheet name="ATTACHED LIST OF SITES" sheetId="3" r:id="rId3"/>
    <sheet name="Attachment A" sheetId="4" r:id="rId4"/>
    <sheet name="RECONCILIATION TO AFS" sheetId="5" r:id="rId5"/>
    <sheet name="P3 Form A-1 Health Care" sheetId="6" r:id="rId6"/>
    <sheet name="P4 Form A-2 - Dental" sheetId="7" r:id="rId7"/>
    <sheet name="P5 Form A-3 - Mental Health" sheetId="8" r:id="rId8"/>
    <sheet name="P6 Form A-4 - Non-Allow Other" sheetId="9" r:id="rId9"/>
    <sheet name="P7 Form A-5 - OH " sheetId="10" r:id="rId10"/>
    <sheet name="P8 Form B-1 Visits-FTE Hlth " sheetId="11" r:id="rId11"/>
    <sheet name="P9 Form B-1 Visits-FTE Hlth2 " sheetId="12" r:id="rId12"/>
    <sheet name="Form B-1 Detail" sheetId="13" r:id="rId13"/>
    <sheet name="P10 Form B-2 Visits-FTE Dental" sheetId="14" r:id="rId14"/>
    <sheet name="Form B-2 Detail" sheetId="15" r:id="rId15"/>
    <sheet name="P11 Form B-3 Visits-FTE Mental " sheetId="16" r:id="rId16"/>
    <sheet name="Form B-3 Detail" sheetId="17" r:id="rId17"/>
    <sheet name="P12 Form B-4 Summary Personnel" sheetId="18" r:id="rId18"/>
    <sheet name="P13 Form C - Adj &amp; Alloc" sheetId="19" r:id="rId19"/>
    <sheet name="P14 Form D-Allow Cost-Visit" sheetId="20" r:id="rId20"/>
    <sheet name="P15 Form E-Revenues" sheetId="21" r:id="rId21"/>
    <sheet name="P16 Form F-Grants-Contributions" sheetId="22" r:id="rId22"/>
    <sheet name="P17 Form G-Cost Disall &amp; Offset" sheetId="23" r:id="rId23"/>
  </sheets>
  <definedNames>
    <definedName name="_xlfn.IFERROR" hidden="1">#NAME?</definedName>
    <definedName name="_xlnm.Print_Area" localSheetId="2">'ATTACHED LIST OF SITES'!$B$2:$G$30</definedName>
    <definedName name="_xlnm.Print_Area" localSheetId="3">'Attachment A'!$AK$1:$AO$28</definedName>
    <definedName name="_xlnm.Print_Area" localSheetId="0">'P1 Info &amp; Certification'!$A$1:$N$50</definedName>
    <definedName name="_xlnm.Print_Area" localSheetId="13">'P10 Form B-2 Visits-FTE Dental'!$A$9:$H$41</definedName>
    <definedName name="_xlnm.Print_Area" localSheetId="15">'P11 Form B-3 Visits-FTE Mental '!$A$17:$H$41</definedName>
    <definedName name="_xlnm.Print_Area" localSheetId="17">'P12 Form B-4 Summary Personnel'!$A$17:$M$41</definedName>
    <definedName name="_xlnm.Print_Area" localSheetId="18">'P13 Form C - Adj &amp; Alloc'!$A$10:$N$38</definedName>
    <definedName name="_xlnm.Print_Area" localSheetId="19">'P14 Form D-Allow Cost-Visit'!$A$1:$N$34</definedName>
    <definedName name="_xlnm.Print_Area" localSheetId="20">'P15 Form E-Revenues'!$A$10:$H$44</definedName>
    <definedName name="_xlnm.Print_Area" localSheetId="21">'P16 Form F-Grants-Contributions'!$A$1:$O$35</definedName>
    <definedName name="_xlnm.Print_Area" localSheetId="22">'P17 Form G-Cost Disall &amp; Offset'!$A$10:$O$42</definedName>
    <definedName name="_xlnm.Print_Area" localSheetId="1">'P2 Service Sites &amp; Rel. Parties'!$A$1:$O$34</definedName>
    <definedName name="_xlnm.Print_Area" localSheetId="5">'P3 Form A-1 Health Care'!$A$1:$J$54</definedName>
    <definedName name="_xlnm.Print_Area" localSheetId="6">'P4 Form A-2 - Dental'!$A$1:$J$50</definedName>
    <definedName name="_xlnm.Print_Area" localSheetId="7">'P5 Form A-3 - Mental Health'!$A$9:$J$46</definedName>
    <definedName name="_xlnm.Print_Area" localSheetId="8">'P6 Form A-4 - Non-Allow Other'!$A$1:$J$39</definedName>
    <definedName name="_xlnm.Print_Area" localSheetId="9">'P7 Form A-5 - OH '!$A$1:$J$54</definedName>
    <definedName name="_xlnm.Print_Area" localSheetId="10">'P8 Form B-1 Visits-FTE Hlth '!$A$10:$I$37</definedName>
    <definedName name="_xlnm.Print_Area" localSheetId="11">'P9 Form B-1 Visits-FTE Hlth2 '!$A$10:$I$39</definedName>
    <definedName name="_xlnm.Print_Area" localSheetId="4">'RECONCILIATION TO AFS'!$A$2:$D$39</definedName>
    <definedName name="_xlnm.Print_Titles" localSheetId="13">'P10 Form B-2 Visits-FTE Dental'!$1:$15</definedName>
    <definedName name="_xlnm.Print_Titles" localSheetId="15">'P11 Form B-3 Visits-FTE Mental '!$1:$15</definedName>
    <definedName name="_xlnm.Print_Titles" localSheetId="17">'P12 Form B-4 Summary Personnel'!$1:$15</definedName>
    <definedName name="_xlnm.Print_Titles" localSheetId="18">'P13 Form C - Adj &amp; Alloc'!$1:$9</definedName>
    <definedName name="_xlnm.Print_Titles" localSheetId="19">'P14 Form D-Allow Cost-Visit'!$1:$9</definedName>
    <definedName name="_xlnm.Print_Titles" localSheetId="20">'P15 Form E-Revenues'!$1:$10</definedName>
    <definedName name="_xlnm.Print_Titles" localSheetId="21">'P16 Form F-Grants-Contributions'!$1:$9</definedName>
    <definedName name="_xlnm.Print_Titles" localSheetId="22">'P17 Form G-Cost Disall &amp; Offset'!$1:$9</definedName>
    <definedName name="_xlnm.Print_Titles" localSheetId="1">'P2 Service Sites &amp; Rel. Parties'!$1:$8</definedName>
    <definedName name="_xlnm.Print_Titles" localSheetId="5">'P3 Form A-1 Health Care'!$1:$8</definedName>
    <definedName name="_xlnm.Print_Titles" localSheetId="6">'P4 Form A-2 - Dental'!$1:$8</definedName>
    <definedName name="_xlnm.Print_Titles" localSheetId="7">'P5 Form A-3 - Mental Health'!$1:$8</definedName>
    <definedName name="_xlnm.Print_Titles" localSheetId="8">'P6 Form A-4 - Non-Allow Other'!$1:$8</definedName>
    <definedName name="_xlnm.Print_Titles" localSheetId="9">'P7 Form A-5 - OH '!$1:$8</definedName>
    <definedName name="_xlnm.Print_Titles" localSheetId="10">'P8 Form B-1 Visits-FTE Hlth '!$1:$15</definedName>
    <definedName name="_xlnm.Print_Titles" localSheetId="11">'P9 Form B-1 Visits-FTE Hlth2 '!$1:$15</definedName>
  </definedNames>
  <calcPr fullCalcOnLoad="1"/>
</workbook>
</file>

<file path=xl/sharedStrings.xml><?xml version="1.0" encoding="utf-8"?>
<sst xmlns="http://schemas.openxmlformats.org/spreadsheetml/2006/main" count="2790" uniqueCount="806">
  <si>
    <t>Personnel</t>
  </si>
  <si>
    <t>Total</t>
  </si>
  <si>
    <t xml:space="preserve"> </t>
  </si>
  <si>
    <t>Date Submitted:</t>
  </si>
  <si>
    <t>Date Received:</t>
  </si>
  <si>
    <t>3. Reporting Period:</t>
  </si>
  <si>
    <t>From</t>
  </si>
  <si>
    <t>To</t>
  </si>
  <si>
    <t>CERTIFICATION BY OFFICER OR ADMINISTRATOR OF CLINIC</t>
  </si>
  <si>
    <t>Salaried</t>
  </si>
  <si>
    <t/>
  </si>
  <si>
    <t>Reclassified</t>
  </si>
  <si>
    <t>Adjustments</t>
  </si>
  <si>
    <t>Net</t>
  </si>
  <si>
    <t>Other</t>
  </si>
  <si>
    <t>Reclass-</t>
  </si>
  <si>
    <t>Trial Balance</t>
  </si>
  <si>
    <t>Increase</t>
  </si>
  <si>
    <t>Expenses</t>
  </si>
  <si>
    <t>Costs</t>
  </si>
  <si>
    <t>ifications</t>
  </si>
  <si>
    <t>(Col 3 &amp; 4)</t>
  </si>
  <si>
    <t>(Col 5 &amp; 6)</t>
  </si>
  <si>
    <t>Physician</t>
  </si>
  <si>
    <t>Dental</t>
  </si>
  <si>
    <t>NONPROFIT ORGANIZATION</t>
  </si>
  <si>
    <t>GOVERNMENT</t>
  </si>
  <si>
    <t>STATE</t>
  </si>
  <si>
    <t>COUNTY</t>
  </si>
  <si>
    <t>DISTRICT</t>
  </si>
  <si>
    <t>CITY</t>
  </si>
  <si>
    <t>OTHER</t>
  </si>
  <si>
    <t>Provider Name</t>
  </si>
  <si>
    <t>Date</t>
  </si>
  <si>
    <t>Title</t>
  </si>
  <si>
    <t>Signature  (Officer or Administrator of FQHC)</t>
  </si>
  <si>
    <t>City, State, ZIP</t>
  </si>
  <si>
    <t>FQHC Name</t>
  </si>
  <si>
    <t xml:space="preserve">I Hereby Certify That I Have Examined the Accompanying Worksheets Prepared By </t>
  </si>
  <si>
    <t>Street Address</t>
  </si>
  <si>
    <t>Telephone Number</t>
  </si>
  <si>
    <t>Contact Person</t>
  </si>
  <si>
    <t>Medical</t>
  </si>
  <si>
    <t>Mental Health</t>
  </si>
  <si>
    <t>Other (Specify)</t>
  </si>
  <si>
    <t>STATE OF CONNECTICUT</t>
  </si>
  <si>
    <t>DEPARTMENT OF SOCIAL SERVICES</t>
  </si>
  <si>
    <t>ANNUAL REPORT</t>
  </si>
  <si>
    <t>FEDERALLY QUALIFIED HEALTH CENTER (FQHC)</t>
  </si>
  <si>
    <t>1.</t>
  </si>
  <si>
    <t>2.</t>
  </si>
  <si>
    <t>4.</t>
  </si>
  <si>
    <t>(FQHC Name)</t>
  </si>
  <si>
    <t>55 FARMINGTON AVENUE      HARTFORD, CONNECTICUT  06105</t>
  </si>
  <si>
    <t>Reporting Period:</t>
  </si>
  <si>
    <t>6.</t>
  </si>
  <si>
    <t>7.</t>
  </si>
  <si>
    <t>Clinic/Provider No.</t>
  </si>
  <si>
    <t>Location</t>
  </si>
  <si>
    <t>FQHC Name:</t>
  </si>
  <si>
    <t>I</t>
  </si>
  <si>
    <t>II</t>
  </si>
  <si>
    <t>III</t>
  </si>
  <si>
    <t>IV</t>
  </si>
  <si>
    <t>V</t>
  </si>
  <si>
    <t>VI</t>
  </si>
  <si>
    <t>VII</t>
  </si>
  <si>
    <t>Staff Cost</t>
  </si>
  <si>
    <t>Physician Assistant</t>
  </si>
  <si>
    <t xml:space="preserve">Other - Specify </t>
  </si>
  <si>
    <t>a.</t>
  </si>
  <si>
    <t>b.</t>
  </si>
  <si>
    <t>c.</t>
  </si>
  <si>
    <t>d.</t>
  </si>
  <si>
    <t>COST CENTER</t>
  </si>
  <si>
    <t>E.</t>
  </si>
  <si>
    <t>Medical Supplies</t>
  </si>
  <si>
    <t>Transportation</t>
  </si>
  <si>
    <t>Depreciation - Medical Equipment</t>
  </si>
  <si>
    <t>Professional Liability Insurance</t>
  </si>
  <si>
    <t>e.</t>
  </si>
  <si>
    <t>f.</t>
  </si>
  <si>
    <t>3.</t>
  </si>
  <si>
    <t>A.</t>
  </si>
  <si>
    <t>B.</t>
  </si>
  <si>
    <t>(Excluding Dental, Mental Health &amp; Other)</t>
  </si>
  <si>
    <t>Dentist</t>
  </si>
  <si>
    <t>Dental Hygienst</t>
  </si>
  <si>
    <t>Depreciation - Dental Equipment</t>
  </si>
  <si>
    <t>Psychologist</t>
  </si>
  <si>
    <t>Social Worker</t>
  </si>
  <si>
    <t>C.</t>
  </si>
  <si>
    <t>D.</t>
  </si>
  <si>
    <t>Service</t>
  </si>
  <si>
    <t>Clinical Diagnostic Lab</t>
  </si>
  <si>
    <t>Battered Women</t>
  </si>
  <si>
    <t>Homeless</t>
  </si>
  <si>
    <t>Non-FQHC Sites</t>
  </si>
  <si>
    <t>Subtotal Other Direct Dental Care Cost</t>
  </si>
  <si>
    <t>Subtotal Direct Health Care Cost</t>
  </si>
  <si>
    <t>Subtotal Other Direct Health Care Cost</t>
  </si>
  <si>
    <t>Subtotal Direct Dental Care Cost</t>
  </si>
  <si>
    <t>F.</t>
  </si>
  <si>
    <t>G.</t>
  </si>
  <si>
    <t>OVERHEAD - FACILITY COST</t>
  </si>
  <si>
    <t>Rent</t>
  </si>
  <si>
    <t>Insurance</t>
  </si>
  <si>
    <t>Interest on Mortgage or Loans</t>
  </si>
  <si>
    <t>Utilities</t>
  </si>
  <si>
    <t>Depreciation - Building</t>
  </si>
  <si>
    <t>Depreciation - Equipment</t>
  </si>
  <si>
    <t>Housekeeping &amp; Maintenance</t>
  </si>
  <si>
    <t>g.</t>
  </si>
  <si>
    <t>i.</t>
  </si>
  <si>
    <t>h.</t>
  </si>
  <si>
    <t>H.</t>
  </si>
  <si>
    <t>OVERHEAD - ADMINISTRATIVE COST</t>
  </si>
  <si>
    <t>Office Salaries</t>
  </si>
  <si>
    <t>Depreciation - Office Equipment</t>
  </si>
  <si>
    <t>Office Supplies</t>
  </si>
  <si>
    <t>Legal</t>
  </si>
  <si>
    <t>Accounting</t>
  </si>
  <si>
    <t>Telephone</t>
  </si>
  <si>
    <t>Interest - Capital Loans</t>
  </si>
  <si>
    <t>j.</t>
  </si>
  <si>
    <t>k.</t>
  </si>
  <si>
    <t>I.</t>
  </si>
  <si>
    <t>J.</t>
  </si>
  <si>
    <t>II.</t>
  </si>
  <si>
    <t>III.</t>
  </si>
  <si>
    <t>COST ADJUSTMENT AND ALLOCATION</t>
  </si>
  <si>
    <t>K.</t>
  </si>
  <si>
    <t>Total Direct Costs (A+B)</t>
  </si>
  <si>
    <t>Portion of Title XIX Services (A/C)</t>
  </si>
  <si>
    <t>Overhead Cost Applicable to Title XIX Services (DxE)</t>
  </si>
  <si>
    <t>Total Title XIX Services Cost (A+F)</t>
  </si>
  <si>
    <t>Allowable Title XIX Overhead Cost (F+I)</t>
  </si>
  <si>
    <t>Direct Costs</t>
  </si>
  <si>
    <t>L.</t>
  </si>
  <si>
    <t>Direct Costs as a % of Total</t>
  </si>
  <si>
    <t>Health Care Services (K1/K4)</t>
  </si>
  <si>
    <t>Dental Services (K2/K4)</t>
  </si>
  <si>
    <t>Mental Health Services (K3/K4)</t>
  </si>
  <si>
    <t>M.</t>
  </si>
  <si>
    <t>Allocated Allowable Overhead Cost</t>
  </si>
  <si>
    <t>Health Care Services (JxL1)</t>
  </si>
  <si>
    <t>Dental Services (JxL2)</t>
  </si>
  <si>
    <t>Mental Health Services (JxL3)</t>
  </si>
  <si>
    <r>
      <t>Health Care Cost (</t>
    </r>
    <r>
      <rPr>
        <b/>
        <u val="single"/>
        <sz val="10"/>
        <rFont val="Helv"/>
        <family val="0"/>
      </rPr>
      <t>Excluding Dental and Mental Health)</t>
    </r>
  </si>
  <si>
    <t>Total Allowable Health Care Cost (A+B)</t>
  </si>
  <si>
    <t>Total Allowable Dental Cost (A+B)</t>
  </si>
  <si>
    <t>Total Allowable Mental Health Cost (A+B)</t>
  </si>
  <si>
    <t>REVENUES</t>
  </si>
  <si>
    <t>Form E (Revenues)</t>
  </si>
  <si>
    <t>Services Excluding Dental, Mental Health &amp; Other</t>
  </si>
  <si>
    <t>Total                     (Col. I thru IV)</t>
  </si>
  <si>
    <t>5.</t>
  </si>
  <si>
    <t>Medicaid</t>
  </si>
  <si>
    <t>Private</t>
  </si>
  <si>
    <t>Medicare</t>
  </si>
  <si>
    <t>Total (1 thru 6)</t>
  </si>
  <si>
    <t>8.</t>
  </si>
  <si>
    <t>9.</t>
  </si>
  <si>
    <t>10.</t>
  </si>
  <si>
    <t>11.</t>
  </si>
  <si>
    <t>Contributions</t>
  </si>
  <si>
    <t>Grants</t>
  </si>
  <si>
    <t>Interest</t>
  </si>
  <si>
    <t>Donations</t>
  </si>
  <si>
    <t>Other - Specify</t>
  </si>
  <si>
    <t>Total (1 thru 7)</t>
  </si>
  <si>
    <t>ACTUAL</t>
  </si>
  <si>
    <r>
      <t xml:space="preserve">Services </t>
    </r>
    <r>
      <rPr>
        <b/>
        <i/>
        <sz val="10"/>
        <rFont val="Helv"/>
        <family val="0"/>
      </rPr>
      <t>(</t>
    </r>
    <r>
      <rPr>
        <b/>
        <i/>
        <u val="single"/>
        <sz val="10"/>
        <rFont val="Helv"/>
        <family val="0"/>
      </rPr>
      <t>Excluding</t>
    </r>
    <r>
      <rPr>
        <b/>
        <i/>
        <sz val="10"/>
        <rFont val="Helv"/>
        <family val="0"/>
      </rPr>
      <t xml:space="preserve"> Dental, Mental Health and Other)</t>
    </r>
  </si>
  <si>
    <t>Total (1 thru 4)</t>
  </si>
  <si>
    <r>
      <t xml:space="preserve">Grants </t>
    </r>
    <r>
      <rPr>
        <b/>
        <i/>
        <sz val="10"/>
        <rFont val="Helv"/>
        <family val="0"/>
      </rPr>
      <t>(Excluding PHS)</t>
    </r>
  </si>
  <si>
    <t>COST DISALLOWANCE AND OFFSET</t>
  </si>
  <si>
    <t>Entertainment</t>
  </si>
  <si>
    <t>Fines and penalties</t>
  </si>
  <si>
    <t>Bad debt</t>
  </si>
  <si>
    <t>12.</t>
  </si>
  <si>
    <t>13.</t>
  </si>
  <si>
    <t>14.</t>
  </si>
  <si>
    <t>15.</t>
  </si>
  <si>
    <t>16.</t>
  </si>
  <si>
    <t>Advertising, except for recruitment of personnel</t>
  </si>
  <si>
    <t>Contingent reserves</t>
  </si>
  <si>
    <t>Legal, Accounting and professional services incurred in connection with rehearing, arbitration, or judicial proceedings pertaining to the reimbursement approved by the Commissioner</t>
  </si>
  <si>
    <t>Fundraising</t>
  </si>
  <si>
    <t>Amortization of goodwill</t>
  </si>
  <si>
    <t>Directors fees</t>
  </si>
  <si>
    <t>Membership dues for public relations</t>
  </si>
  <si>
    <t>Cost not related to patient care</t>
  </si>
  <si>
    <t>Pass through expenses</t>
  </si>
  <si>
    <t>Total (1 thru 15)</t>
  </si>
  <si>
    <t>Refunds - Medicaid Outreach</t>
  </si>
  <si>
    <t>Rent Income</t>
  </si>
  <si>
    <t>In-Kind Medical Supplies</t>
  </si>
  <si>
    <t>In-Kind Dental Supplies</t>
  </si>
  <si>
    <t>In-Kind Computer Supplies</t>
  </si>
  <si>
    <t>In-Kind Advertising</t>
  </si>
  <si>
    <t>Total Cost Disallowance and Offset (A16+B7)</t>
  </si>
  <si>
    <t>Cost Disallowance</t>
  </si>
  <si>
    <t>Form C (Cost Adjustment &amp; Allocation)</t>
  </si>
  <si>
    <t>FTEs</t>
  </si>
  <si>
    <t>(2080 hrs = 1 FTE)</t>
  </si>
  <si>
    <t>Total Hours</t>
  </si>
  <si>
    <t>PHYSICIAN ASSISTANT</t>
  </si>
  <si>
    <t>PHYSICIAN SERVICES UNDER CONTRACT</t>
  </si>
  <si>
    <t>DENTIST</t>
  </si>
  <si>
    <t>DENTAL HYGIENIST</t>
  </si>
  <si>
    <t>PSYCHOLOGIST</t>
  </si>
  <si>
    <t>SOCIAL WORKER</t>
  </si>
  <si>
    <t>Type of Control  (Check One Only)</t>
  </si>
  <si>
    <t>FQHC Owned By:</t>
  </si>
  <si>
    <t>Other Direct Health Care Cost</t>
  </si>
  <si>
    <t xml:space="preserve">FQHC Medicaid Provider Number: </t>
  </si>
  <si>
    <t>Depreciation - Mental Health Equipment</t>
  </si>
  <si>
    <t>Radiology</t>
  </si>
  <si>
    <t>Printed Name</t>
  </si>
  <si>
    <t>Form A-1 (Direct Health Care Cost)</t>
  </si>
  <si>
    <t>Form A-2 (Direct Dental Care Cost)</t>
  </si>
  <si>
    <t>Other Direct Dental Care Cost</t>
  </si>
  <si>
    <t>Dental Supplies</t>
  </si>
  <si>
    <t>Form A-3 (Direct Mental Health Care Cost)</t>
  </si>
  <si>
    <t>Subtotal Direct Mental Health Care Cost</t>
  </si>
  <si>
    <t>Other Direct Mental Health Care Cost</t>
  </si>
  <si>
    <t>Subtotal Other Direct Mental Health Care Cost</t>
  </si>
  <si>
    <t>Subtotal Overhead - Facility Cost</t>
  </si>
  <si>
    <t>Subtotal Overhead - Administrative Cost</t>
  </si>
  <si>
    <t>PHYSICIAN</t>
  </si>
  <si>
    <t>Direct Cost Title XIX Services (P5 - Form A-3, Line D, Col. VII)</t>
  </si>
  <si>
    <t>Direct Cost Other Services (P6 - Form A-4, Line E.1.i, Col. VII)</t>
  </si>
  <si>
    <t>Total Overhead Cost (P7 - Form A-5, Line I, Col. VII)</t>
  </si>
  <si>
    <t>Thirty Percent (30%) of Total Title XIX Svc Cost (Gx.30)</t>
  </si>
  <si>
    <t>Health Care Services (P3 - Form A-1, Line A3, Col. VII)</t>
  </si>
  <si>
    <t>Dental Services (P4 - Form A-2, Line B3, Col. VII)</t>
  </si>
  <si>
    <t>Mental Health Services (P5 - Form A-3, Line C3, Col. VII)</t>
  </si>
  <si>
    <t>Total Direct Costs (K1 thru K3)</t>
  </si>
  <si>
    <t>Total Allowable Title XIX Overhead Cost (M1 thru M3)</t>
  </si>
  <si>
    <t>Direct Health Care Cost  (P3 - Form A-1, Line A3, Col. VII)</t>
  </si>
  <si>
    <t>Direct Dental Care Cost (P4 - Form A-2, Line B3, Col. VII)</t>
  </si>
  <si>
    <t>Direct Mental Health Care Cost (P5 - Form A-3, Line C3, Col. VII)</t>
  </si>
  <si>
    <t>Patient Cash/Self Pay</t>
  </si>
  <si>
    <t>Operating Revenue</t>
  </si>
  <si>
    <t>Other Revenue</t>
  </si>
  <si>
    <t>Other Revenue                                            (Include revenue generated by non-approved FQHC sites)</t>
  </si>
  <si>
    <t>Form F (Grants and Contributions)</t>
  </si>
  <si>
    <r>
      <t>GRANTS AND CONTRIBUTIONS</t>
    </r>
    <r>
      <rPr>
        <b/>
        <i/>
        <sz val="10"/>
        <rFont val="Helv"/>
        <family val="0"/>
      </rPr>
      <t xml:space="preserve"> (EXCLUDING THE PUBLIC HEALTH SERVICES GRANTS)</t>
    </r>
  </si>
  <si>
    <t>Form G (Cost Disallowance and Offset)</t>
  </si>
  <si>
    <t>Cost of actions to collect receivables</t>
  </si>
  <si>
    <r>
      <t xml:space="preserve">Cost Offset </t>
    </r>
    <r>
      <rPr>
        <b/>
        <i/>
        <sz val="10"/>
        <rFont val="Helv"/>
        <family val="0"/>
      </rPr>
      <t>(Expense Recovery)</t>
    </r>
  </si>
  <si>
    <t>DIRECT HEALTH CARE COST</t>
  </si>
  <si>
    <t>DIRECT DENTAL CARE COST</t>
  </si>
  <si>
    <t>DIRECT MENTAL HEALTH CARE COST</t>
  </si>
  <si>
    <t>Encounters</t>
  </si>
  <si>
    <t>Total Physician Encounters, Staff Hours and FTEs</t>
  </si>
  <si>
    <t>Total Physician Assistant Encounters, Hours and FTEs</t>
  </si>
  <si>
    <t>Total Dentist Encounters, Staff Hours and FTEs</t>
  </si>
  <si>
    <t>Total Dental Hygienist Encounters, Hours and FTEs</t>
  </si>
  <si>
    <t>Total Psychologist Encounters, Staff Hours and FTEs</t>
  </si>
  <si>
    <t>Total Social Worker Encounters, Hours and FTEs</t>
  </si>
  <si>
    <t>Form D (Allowable Cost per Encounter)</t>
  </si>
  <si>
    <t>ALLOWABLE COST PER ENCOUNTER</t>
  </si>
  <si>
    <t>Allowable Health Care Cost Per Encounter (C/D)</t>
  </si>
  <si>
    <t>Allowable Dental Cost Per Encounter (C/D)</t>
  </si>
  <si>
    <t>Allowable Mental Health Cost Per Encounter (C/D)</t>
  </si>
  <si>
    <t>Compensation</t>
  </si>
  <si>
    <r>
      <t xml:space="preserve">HEALTH CARE COMPENSATION, ENCOUNTERS, HOURS, &amp; FTEs </t>
    </r>
    <r>
      <rPr>
        <b/>
        <i/>
        <sz val="10"/>
        <rFont val="Arial"/>
        <family val="2"/>
      </rPr>
      <t>(Excluding Dental, Mental Health, and Other)</t>
    </r>
  </si>
  <si>
    <t>Provide itemized de-identified list (e.g., Physician 1)</t>
  </si>
  <si>
    <t>General Practitioner</t>
  </si>
  <si>
    <t>Specialty</t>
  </si>
  <si>
    <t>Total Employee Hours and FTEs</t>
  </si>
  <si>
    <t>Employee</t>
  </si>
  <si>
    <t>HEALTH CARE COMPENSATION, ENCOUNTERS, HOURS, AND FTEs BY PRACTITIONER</t>
  </si>
  <si>
    <t>Form B-1 (Compensation, Encounters, Hours, FTEs - Health Care)</t>
  </si>
  <si>
    <r>
      <t xml:space="preserve">Form B-1 </t>
    </r>
    <r>
      <rPr>
        <b/>
        <i/>
        <sz val="10"/>
        <rFont val="Arial"/>
        <family val="2"/>
      </rPr>
      <t xml:space="preserve">Continued </t>
    </r>
    <r>
      <rPr>
        <b/>
        <sz val="10"/>
        <rFont val="Arial"/>
        <family val="2"/>
      </rPr>
      <t>(Compensation, Encounters, Hours, FTEs - Health Care)</t>
    </r>
  </si>
  <si>
    <t>Total Nurse Practioner</t>
  </si>
  <si>
    <t>Total Physician Services Under Contract</t>
  </si>
  <si>
    <t>Total Other Health Care Practitioner</t>
  </si>
  <si>
    <t>Provide itemized de-identified list (e.g., Dentist 1)</t>
  </si>
  <si>
    <t>Provide itemized de-identified list (e.g., Psychologist 1)</t>
  </si>
  <si>
    <t>DENTAL CARE COMPENSATION, ENCOUNTERS, HOURS, &amp; FTEs</t>
  </si>
  <si>
    <t>MENTAL HEALTH SERVICES COMPENSATION, ENCOUNTERS, HOURS, &amp; FTEs</t>
  </si>
  <si>
    <t>MENTAL HEALTH SERVICES COMPENSATION, ENCOUNTERS, HOURS, AND FTEs BY PRACTITIONER</t>
  </si>
  <si>
    <t>DENTAL SERVICES COMPENSATION, ENCOUNTERS, HOURS, AND FTEs BY PRACTITIONER</t>
  </si>
  <si>
    <t>Form B-2 (Compensation, Encounters, Hours, FTEs - Dental Care)</t>
  </si>
  <si>
    <t>Form B-3 (Compensation, Encounters, Hours, FTEs - Mental Health Care)</t>
  </si>
  <si>
    <t>NURSE (APRN, MIDWIFE, RN)</t>
  </si>
  <si>
    <t>Nurse (APRN, Midwife, RN)</t>
  </si>
  <si>
    <r>
      <t>FQHC Certified              Yes</t>
    </r>
    <r>
      <rPr>
        <b/>
        <i/>
        <sz val="10"/>
        <rFont val="Helv"/>
        <family val="0"/>
      </rPr>
      <t>/ No</t>
    </r>
  </si>
  <si>
    <t>RECLASSIFICATIONS AND ADJUSTMENTS OF TRIAL BALANCE OF EXPENSES</t>
  </si>
  <si>
    <t>(Decrease)</t>
  </si>
  <si>
    <t>Allowable Overhead Cost (P13 - Form C, Line M1)</t>
  </si>
  <si>
    <t>Allowable Overhead Cost (P13 - Form C, Line M2)</t>
  </si>
  <si>
    <t>Allowable Overhead Cost (P13 - Form C, Line M3)</t>
  </si>
  <si>
    <t>Select One:</t>
  </si>
  <si>
    <r>
      <rPr>
        <b/>
        <sz val="11"/>
        <rFont val="Helv"/>
        <family val="0"/>
      </rPr>
      <t xml:space="preserve">Related Parties:  </t>
    </r>
    <r>
      <rPr>
        <sz val="11"/>
        <rFont val="Helv"/>
        <family val="0"/>
      </rPr>
      <t xml:space="preserve"> Related party information is reported on the following, which accompanies this cost report submission:</t>
    </r>
  </si>
  <si>
    <t>C.  Not applicable.  The FQHC does not have any related party individuals or organizations.</t>
  </si>
  <si>
    <t>A.  Copy of Medicare Cost Report (CMS 222-92) Worksheet A-2-1, Statement of Costs of Services from Related Organizations.</t>
  </si>
  <si>
    <t>B.  Schedule of related parties that contains the same information as Medicare Cost Report (CMS 222-92) Worksheet A-2-1.</t>
  </si>
  <si>
    <t>SELECT ONE OF THE FOLLOWING OPTIONS:</t>
  </si>
  <si>
    <t>DENTAL PRACTITIONERS</t>
  </si>
  <si>
    <t>MENTAL HEALTH PRACTITIONERS</t>
  </si>
  <si>
    <t>HEALTH CARE PRACTITIONERS</t>
  </si>
  <si>
    <t>OTHER MENTAL HEALTH PRACTITIONER</t>
  </si>
  <si>
    <t>Total Dental</t>
  </si>
  <si>
    <t>Total Mental Health</t>
  </si>
  <si>
    <t>Total Health Care</t>
  </si>
  <si>
    <t>Number of</t>
  </si>
  <si>
    <t>Practitioners</t>
  </si>
  <si>
    <t>Compensation Range</t>
  </si>
  <si>
    <t>High</t>
  </si>
  <si>
    <t>Low</t>
  </si>
  <si>
    <t>Turnover</t>
  </si>
  <si>
    <t>Departures</t>
  </si>
  <si>
    <t>Hires</t>
  </si>
  <si>
    <t>Employee Hours and FTEs</t>
  </si>
  <si>
    <t>FTEs (2,080</t>
  </si>
  <si>
    <t>hrs = 1 FTE)</t>
  </si>
  <si>
    <t>VIII</t>
  </si>
  <si>
    <t>IX</t>
  </si>
  <si>
    <t>PSYCHIATRIST</t>
  </si>
  <si>
    <t>SUMMARY COMPENSATION, ENCOUNTERS, HOURS, AND FTEs BY PRACTITIONER TYPE</t>
  </si>
  <si>
    <t>OTHER HEALTH PROFESSIONALS</t>
  </si>
  <si>
    <t>OTHER ALLIED HEALTH PROFESSIONALS</t>
  </si>
  <si>
    <t>LICENSED CLINICAL SOCIAL WORKER</t>
  </si>
  <si>
    <t>OTHER DENTAL PRACTITIONERS</t>
  </si>
  <si>
    <t>PSYCHIATRIC APRN</t>
  </si>
  <si>
    <t>Laboratory</t>
  </si>
  <si>
    <t>Physician-Administered Drugs</t>
  </si>
  <si>
    <t>Prescription Drugs/Pharmacy</t>
  </si>
  <si>
    <t>WIC</t>
  </si>
  <si>
    <t>NON-ALLOWABLE DIRECT OTHER SERVICE COST</t>
  </si>
  <si>
    <t xml:space="preserve">Total Non-Allowable Direct Other Service Cost </t>
  </si>
  <si>
    <t>TOTAL DIRECT HEALTH CARE COST (1e &amp; 2i)</t>
  </si>
  <si>
    <t>TOTAL DIRECT MENTAL HEALTH CARE COST (1d &amp; 2f)</t>
  </si>
  <si>
    <t>TOTAL DIRECT DENTAL CARE COST (1d &amp; 2f)</t>
  </si>
  <si>
    <t>TOTAL DIRECT COST BEFORE NON-ALLOWABLE SERVICES</t>
  </si>
  <si>
    <t>TOTAL OVERHEAD COST (Gi+Hk)</t>
  </si>
  <si>
    <r>
      <t>GRAND TOTAL COSTS</t>
    </r>
    <r>
      <rPr>
        <b/>
        <vertAlign val="superscript"/>
        <sz val="10"/>
        <rFont val="Helv"/>
        <family val="0"/>
      </rPr>
      <t>2</t>
    </r>
    <r>
      <rPr>
        <b/>
        <sz val="10"/>
        <rFont val="Helv"/>
        <family val="0"/>
      </rPr>
      <t xml:space="preserve"> (F+I)</t>
    </r>
  </si>
  <si>
    <r>
      <rPr>
        <b/>
        <i/>
        <vertAlign val="superscript"/>
        <sz val="8"/>
        <rFont val="Helv"/>
        <family val="0"/>
      </rPr>
      <t xml:space="preserve">2 </t>
    </r>
    <r>
      <rPr>
        <b/>
        <i/>
        <sz val="8"/>
        <rFont val="Helv"/>
        <family val="0"/>
      </rPr>
      <t>Reconciliation schedule is required if Line J, Column III does not agree to the Audited Financial Statements</t>
    </r>
  </si>
  <si>
    <r>
      <rPr>
        <b/>
        <sz val="11"/>
        <rFont val="Helv"/>
        <family val="0"/>
      </rPr>
      <t xml:space="preserve">Service Sites:  </t>
    </r>
    <r>
      <rPr>
        <sz val="11"/>
        <rFont val="Helv"/>
        <family val="0"/>
      </rPr>
      <t>List all service sites of the FQHC, including all FQHC-certified sites and any other non-FQHC service sites.  Indicate whether the service site is FQHC certified.  If a site or sites are not FQHC-certified, the associated costs should be reported on Form A-4 as non-allowable costs.</t>
    </r>
  </si>
  <si>
    <t>Form A-4 (Non-Allowable Direct Other Service Cost)</t>
  </si>
  <si>
    <t>Form A-5 (Overhead Cost)</t>
  </si>
  <si>
    <t>TOTAL DIRECT COST (D+E1i)</t>
  </si>
  <si>
    <t>OTHER HEALTH CARE PRACTITIONER</t>
  </si>
  <si>
    <t>OTHER DENTAL PRACTITIONER</t>
  </si>
  <si>
    <t>Total Other Dental Practitioner Encounters, Hours and FTEs</t>
  </si>
  <si>
    <t>Total Other Mental Health Practitioner Encounters, Hours and FTEs</t>
  </si>
  <si>
    <t>Form B-4 (Summary Compensation, Encounters, Hours, FTEs)</t>
  </si>
  <si>
    <t>OTHER MENTAL HEALTH PRACTITIONERS</t>
  </si>
  <si>
    <t>Encounters (P12 - Form B-4, Health Care Total)</t>
  </si>
  <si>
    <t>Encounters (P12 - Form B-4, Dental Total)</t>
  </si>
  <si>
    <t>Encounters (P12 - Form B-4, Mental Health Total)</t>
  </si>
  <si>
    <t>Cost Adjustment (Lower of H-F or Zero)</t>
  </si>
  <si>
    <t>Total (1 thru 5)</t>
  </si>
  <si>
    <t>Total (1 thru 10)</t>
  </si>
  <si>
    <t>Total Revenue (A6+B11+C7)</t>
  </si>
  <si>
    <t>OTHER HEALTH CARE PRACTITIONERS</t>
  </si>
  <si>
    <t>Advertising-Help Wanted</t>
  </si>
  <si>
    <t>COMMUNITY HEALTH CENTER, INC.</t>
  </si>
  <si>
    <t>575 MAIN STREET</t>
  </si>
  <si>
    <t>MIDDLETOWN, CT  06457</t>
  </si>
  <si>
    <t>860-347-6971</t>
  </si>
  <si>
    <t>CHIEF FINANCIAL OFFICER</t>
  </si>
  <si>
    <t>004236346</t>
  </si>
  <si>
    <t>004236354</t>
  </si>
  <si>
    <t>004236338</t>
  </si>
  <si>
    <t>x</t>
  </si>
  <si>
    <t>Community Health Center Inc.</t>
  </si>
  <si>
    <t>675 Main Street, Middletown CT 06457</t>
  </si>
  <si>
    <t>Yes</t>
  </si>
  <si>
    <t>1164463840</t>
  </si>
  <si>
    <t>One Shaw's Cove, New London CT 06320</t>
  </si>
  <si>
    <t>1982889309</t>
  </si>
  <si>
    <t>85 Lafayette Street, New Britain CT 06051</t>
  </si>
  <si>
    <t>1912182338</t>
  </si>
  <si>
    <t>134 State Street, Meriden CT 06450</t>
  </si>
  <si>
    <t>1720263148</t>
  </si>
  <si>
    <t>114 East Main Street, Clinton CT 06413</t>
  </si>
  <si>
    <t>144735862</t>
  </si>
  <si>
    <t>49 Day Street, Norwalk CT 06854</t>
  </si>
  <si>
    <t>1972788321</t>
  </si>
  <si>
    <t>481 Gold Star Hwy, Groton CT 06340</t>
  </si>
  <si>
    <t>147334851</t>
  </si>
  <si>
    <t>8 Delay Street, Danbury CT 06810</t>
  </si>
  <si>
    <t>1518139500</t>
  </si>
  <si>
    <t>5 N. Main Street, Enfield CT 06082</t>
  </si>
  <si>
    <t>1679761027</t>
  </si>
  <si>
    <t>141 Franklin Street, Stamford CT 06901</t>
  </si>
  <si>
    <t>1730311143</t>
  </si>
  <si>
    <t>59 North Main Street, Bristol CT 06010</t>
  </si>
  <si>
    <t>1356676514</t>
  </si>
  <si>
    <t>51 North Elm Street, Waterbury CT 06702</t>
  </si>
  <si>
    <t>1972866556</t>
  </si>
  <si>
    <t>Community Health Center Inc., W.Y.A. Masters Manna</t>
  </si>
  <si>
    <t>46 N. Plains Industrial Road, Wallingford CT 06492</t>
  </si>
  <si>
    <t>1952591851</t>
  </si>
  <si>
    <t>Community Health Center Inc., W.Y.A. Prudence Crandall</t>
  </si>
  <si>
    <t>594 Burritt Street, New Britain CT 06051</t>
  </si>
  <si>
    <t>Community Health Center Inc., W.Y.A. Shelter Now</t>
  </si>
  <si>
    <t>43 St. Casimir Drive, Meriden CT 06450</t>
  </si>
  <si>
    <t>Community Health Center Inc., W.Y.A. Friendship Center</t>
  </si>
  <si>
    <t>241 Arch Street, New Britain CT 06050</t>
  </si>
  <si>
    <t>Community Health Center Inc., W.Y.A. Eddy Shelter</t>
  </si>
  <si>
    <t>1 LaBella Circle, Middletown CT 06457</t>
  </si>
  <si>
    <t>Community Health Center Inc., W.Y.A. New London</t>
  </si>
  <si>
    <t>427 Huntington Avenue,  New London CT 06320</t>
  </si>
  <si>
    <t>1548677982</t>
  </si>
  <si>
    <t>Community Health Center Inc., W.Y.A. City of Danbury Emergency Shelter</t>
  </si>
  <si>
    <t>41 New Street, Danbury, CT 06810</t>
  </si>
  <si>
    <t>76 New Britain Avenue, Hartford, CT 06106</t>
  </si>
  <si>
    <t>None</t>
  </si>
  <si>
    <t>Other Direct Healthcare Costs</t>
  </si>
  <si>
    <t>Other Direct Dental Care Costs</t>
  </si>
  <si>
    <t>Other Direct Mental Health Care Costs</t>
  </si>
  <si>
    <t>Non-Allowable Other Costs</t>
  </si>
  <si>
    <t>Overhead - Adminstrative Other Costs</t>
  </si>
  <si>
    <t>Reclass of Public Relations and Weitzman</t>
  </si>
  <si>
    <t>Line</t>
  </si>
  <si>
    <t>A2h</t>
  </si>
  <si>
    <t>B2e</t>
  </si>
  <si>
    <t>C2e</t>
  </si>
  <si>
    <t>Hj</t>
  </si>
  <si>
    <t>Adj</t>
  </si>
  <si>
    <t>Visits</t>
  </si>
  <si>
    <t>%</t>
  </si>
  <si>
    <t>Grand Total</t>
  </si>
  <si>
    <t>Sal</t>
  </si>
  <si>
    <t>Ben</t>
  </si>
  <si>
    <t>A2a</t>
  </si>
  <si>
    <t>A2c</t>
  </si>
  <si>
    <t>B2a</t>
  </si>
  <si>
    <t>B2c</t>
  </si>
  <si>
    <t>C2c</t>
  </si>
  <si>
    <t>Ga</t>
  </si>
  <si>
    <t>Gb</t>
  </si>
  <si>
    <t>Gc</t>
  </si>
  <si>
    <t>Gd</t>
  </si>
  <si>
    <t>Ge</t>
  </si>
  <si>
    <t>Gg</t>
  </si>
  <si>
    <t>Gh</t>
  </si>
  <si>
    <t>Hc</t>
  </si>
  <si>
    <t>Hd</t>
  </si>
  <si>
    <t>He</t>
  </si>
  <si>
    <t>Hg</t>
  </si>
  <si>
    <t>See Attachment A</t>
  </si>
  <si>
    <t>Cost Center</t>
  </si>
  <si>
    <t>Podiatrist</t>
  </si>
  <si>
    <t>Salary</t>
  </si>
  <si>
    <t>Benefits</t>
  </si>
  <si>
    <t>Dental Salary and Benefits Other</t>
  </si>
  <si>
    <t>LPN</t>
  </si>
  <si>
    <t>Mental Health Salary and Benefits Other</t>
  </si>
  <si>
    <t>Water/Sewer/Sanitation</t>
  </si>
  <si>
    <t>A2b</t>
  </si>
  <si>
    <t>B2b</t>
  </si>
  <si>
    <t>C2b</t>
  </si>
  <si>
    <t>210100</t>
  </si>
  <si>
    <t>210300</t>
  </si>
  <si>
    <t>210400</t>
  </si>
  <si>
    <t>210500</t>
  </si>
  <si>
    <t>210600</t>
  </si>
  <si>
    <t>210700</t>
  </si>
  <si>
    <t>210800</t>
  </si>
  <si>
    <t>210900</t>
  </si>
  <si>
    <t>211000</t>
  </si>
  <si>
    <t>211100</t>
  </si>
  <si>
    <t>211200</t>
  </si>
  <si>
    <t>211300</t>
  </si>
  <si>
    <t>211400</t>
  </si>
  <si>
    <t>220100</t>
  </si>
  <si>
    <t>220300</t>
  </si>
  <si>
    <t>220700</t>
  </si>
  <si>
    <t>240100</t>
  </si>
  <si>
    <t>270100</t>
  </si>
  <si>
    <t>SBHC Reclass Medical to Mental Health</t>
  </si>
  <si>
    <t>See Form B-1 Detail</t>
  </si>
  <si>
    <t>RN</t>
  </si>
  <si>
    <t>APRN</t>
  </si>
  <si>
    <t>CNM</t>
  </si>
  <si>
    <t>See Form B-2 Detail</t>
  </si>
  <si>
    <t>See Form B-3 Detail</t>
  </si>
  <si>
    <t>LCSW</t>
  </si>
  <si>
    <t>PsyD</t>
  </si>
  <si>
    <t>PhD</t>
  </si>
  <si>
    <t>LPC</t>
  </si>
  <si>
    <t>LMFT</t>
  </si>
  <si>
    <t>Bonding</t>
  </si>
  <si>
    <t>340B</t>
  </si>
  <si>
    <t>Consulting</t>
  </si>
  <si>
    <t>Investment Income</t>
  </si>
  <si>
    <t>Allocated Direct Support Staff</t>
  </si>
  <si>
    <t>Bad Debt</t>
  </si>
  <si>
    <t>Non-Patient Care Subsidiaries</t>
  </si>
  <si>
    <t>Eh2</t>
  </si>
  <si>
    <t>Reclass of Bad Debt</t>
  </si>
  <si>
    <t>310100</t>
  </si>
  <si>
    <t>310200</t>
  </si>
  <si>
    <t>310300</t>
  </si>
  <si>
    <t>310400</t>
  </si>
  <si>
    <t>310600</t>
  </si>
  <si>
    <t>310800</t>
  </si>
  <si>
    <t>310900</t>
  </si>
  <si>
    <t>311200</t>
  </si>
  <si>
    <t>311300</t>
  </si>
  <si>
    <t>311400</t>
  </si>
  <si>
    <t>320100</t>
  </si>
  <si>
    <t>320300</t>
  </si>
  <si>
    <t>320400</t>
  </si>
  <si>
    <t>320600</t>
  </si>
  <si>
    <t>320800</t>
  </si>
  <si>
    <t>320900</t>
  </si>
  <si>
    <t>321000</t>
  </si>
  <si>
    <t>410100</t>
  </si>
  <si>
    <t>410300</t>
  </si>
  <si>
    <t>410400</t>
  </si>
  <si>
    <t>410500</t>
  </si>
  <si>
    <t>410600</t>
  </si>
  <si>
    <t>410700</t>
  </si>
  <si>
    <t>410800</t>
  </si>
  <si>
    <t>410900</t>
  </si>
  <si>
    <t>411000</t>
  </si>
  <si>
    <t>411100</t>
  </si>
  <si>
    <t>411200</t>
  </si>
  <si>
    <t>411300</t>
  </si>
  <si>
    <t>411400</t>
  </si>
  <si>
    <t>A1a</t>
  </si>
  <si>
    <t>A1b</t>
  </si>
  <si>
    <t>A1c</t>
  </si>
  <si>
    <t>A1d</t>
  </si>
  <si>
    <t>B1a</t>
  </si>
  <si>
    <t>B1b</t>
  </si>
  <si>
    <t>B1c</t>
  </si>
  <si>
    <t>C1a</t>
  </si>
  <si>
    <t>C1b</t>
  </si>
  <si>
    <t>C1c</t>
  </si>
  <si>
    <t>E1d</t>
  </si>
  <si>
    <t>E1e</t>
  </si>
  <si>
    <t>Ha</t>
  </si>
  <si>
    <t>Allocated</t>
  </si>
  <si>
    <t>Hours</t>
  </si>
  <si>
    <t>Salaries</t>
  </si>
  <si>
    <t>Payroll and Benefits</t>
  </si>
  <si>
    <t>Total Salary and Benefits</t>
  </si>
  <si>
    <t>MEDICAL</t>
  </si>
  <si>
    <t xml:space="preserve">DENTAL </t>
  </si>
  <si>
    <t>MEDICAID</t>
  </si>
  <si>
    <t>MEDICARE</t>
  </si>
  <si>
    <t>PRIVATE</t>
  </si>
  <si>
    <t>GRANTS</t>
  </si>
  <si>
    <t>DONATIONS</t>
  </si>
  <si>
    <t>BONDING</t>
  </si>
  <si>
    <t>340b</t>
  </si>
  <si>
    <t>CONSULTING</t>
  </si>
  <si>
    <t>INVESTMENT INCOME</t>
  </si>
  <si>
    <t>RENTAL INCOME</t>
  </si>
  <si>
    <t>INTEREST AND DIVIDENDS</t>
  </si>
  <si>
    <t>Medical Salary and Benefits Other</t>
  </si>
  <si>
    <t>CONTRACTED</t>
  </si>
  <si>
    <t>CADC</t>
  </si>
  <si>
    <t>ACCT</t>
  </si>
  <si>
    <t>TOTAL SALARY</t>
  </si>
  <si>
    <t>PER PR FILE</t>
  </si>
  <si>
    <t>DIFF</t>
  </si>
  <si>
    <t>ACCOUNT NO</t>
  </si>
  <si>
    <t>GL $</t>
  </si>
  <si>
    <t>B1c  DATA</t>
  </si>
  <si>
    <t>A1d NUMBERS</t>
  </si>
  <si>
    <t>C1c TOTAL</t>
  </si>
  <si>
    <t>ALLOCATED TOTAL</t>
  </si>
  <si>
    <t>TOTAL</t>
  </si>
  <si>
    <t>250100</t>
  </si>
  <si>
    <t>800000</t>
  </si>
  <si>
    <t>800600</t>
  </si>
  <si>
    <t>TOTAL DENTAL</t>
  </si>
  <si>
    <t>100100</t>
  </si>
  <si>
    <t>100600</t>
  </si>
  <si>
    <t>101100</t>
  </si>
  <si>
    <t>800500</t>
  </si>
  <si>
    <t>Reclass Public Relations and Weitzman</t>
  </si>
  <si>
    <t>`</t>
  </si>
  <si>
    <t>M</t>
  </si>
  <si>
    <t>D</t>
  </si>
  <si>
    <t>MH</t>
  </si>
  <si>
    <t>100900</t>
  </si>
  <si>
    <t>211500</t>
  </si>
  <si>
    <t>Participation in Affiliate Business</t>
  </si>
  <si>
    <t>COMMUNITY HEALTH CENTER INC.</t>
  </si>
  <si>
    <t>FQHC Certified              Yes/ No</t>
  </si>
  <si>
    <t>22 Fifth Street, Stamford, CT 06905</t>
  </si>
  <si>
    <t xml:space="preserve">COMPLETE CLINIC SITE LISTING FOR - </t>
  </si>
  <si>
    <t>TOTAL REVENUES</t>
  </si>
  <si>
    <t>Administrative Assistant</t>
  </si>
  <si>
    <t>Care Coordinator</t>
  </si>
  <si>
    <t>Case Manager, Community Based Services</t>
  </si>
  <si>
    <t>Diabetes Educator</t>
  </si>
  <si>
    <t>Dietitian</t>
  </si>
  <si>
    <t>Home Visitor</t>
  </si>
  <si>
    <t>Lead Dietitian</t>
  </si>
  <si>
    <t>Medical Assistant</t>
  </si>
  <si>
    <t>Operations Manager</t>
  </si>
  <si>
    <t>Patient Services Associate</t>
  </si>
  <si>
    <t>Patient Services Associate II</t>
  </si>
  <si>
    <t>Peer Outreach and Support</t>
  </si>
  <si>
    <t>Perinatal Support Worker</t>
  </si>
  <si>
    <t>Senior Medical Assistant</t>
  </si>
  <si>
    <t>Senior Patient Services Associate</t>
  </si>
  <si>
    <t>Site Director</t>
  </si>
  <si>
    <t>Sr Program Manager, Prenatal</t>
  </si>
  <si>
    <t>Psychiatrist</t>
  </si>
  <si>
    <t>TOTAL MENTAL HEALTH</t>
  </si>
  <si>
    <t>FORM A-1</t>
  </si>
  <si>
    <t>FORM A-5</t>
  </si>
  <si>
    <t>NON-ALLOWABLE A-4</t>
  </si>
  <si>
    <t>FORM A-3</t>
  </si>
  <si>
    <t>DENTAL A-2</t>
  </si>
  <si>
    <t>MEDICAL  A-1</t>
  </si>
  <si>
    <t>FY2020</t>
  </si>
  <si>
    <t>C2a</t>
  </si>
  <si>
    <t>ADVERTISING</t>
  </si>
  <si>
    <t>CLEANING - HOUSEKEEP</t>
  </si>
  <si>
    <t>COMPUTER TIME</t>
  </si>
  <si>
    <t>CONTINUING ED</t>
  </si>
  <si>
    <t>CONTRACTUAL EXPENSES</t>
  </si>
  <si>
    <t>DATA STORAGE EXPENSE</t>
  </si>
  <si>
    <t>DENTAL EXPENSES</t>
  </si>
  <si>
    <t>DENTAL LAB</t>
  </si>
  <si>
    <t>EQUIP RENTAL</t>
  </si>
  <si>
    <t>HEALTH FAIR EXPENSE</t>
  </si>
  <si>
    <t>LEGAL FEES</t>
  </si>
  <si>
    <t>LICENSES - CERT EXP</t>
  </si>
  <si>
    <t>LITERATURE</t>
  </si>
  <si>
    <t>MAINT - REPAIR EXP</t>
  </si>
  <si>
    <t>MAINT CONTRACTS</t>
  </si>
  <si>
    <t>MEETINGS &amp; CONF</t>
  </si>
  <si>
    <t>MEMBERSHIP DUES</t>
  </si>
  <si>
    <t>MINOR EQUIP</t>
  </si>
  <si>
    <t>OFFICE SUPPLIES</t>
  </si>
  <si>
    <t>OTHER EXPENSE</t>
  </si>
  <si>
    <t>OTHER SUPPLIES</t>
  </si>
  <si>
    <t>POSTAGE EXPENSES</t>
  </si>
  <si>
    <t>PRINTING EXPENSE</t>
  </si>
  <si>
    <t>PROPERTY TAXES</t>
  </si>
  <si>
    <t>RENT EXPENSE</t>
  </si>
  <si>
    <t>TELEPHONE EXP</t>
  </si>
  <si>
    <t>TEMP HELP EXPENSE</t>
  </si>
  <si>
    <t>TRANSLATION SERVICES</t>
  </si>
  <si>
    <t>TRAVEL EXP</t>
  </si>
  <si>
    <t>UTILITIES</t>
  </si>
  <si>
    <t>WATER - SEWER EXP</t>
  </si>
  <si>
    <t>DEPREC EXP</t>
  </si>
  <si>
    <t>MEDICAL SUPPLIES</t>
  </si>
  <si>
    <t>BLDG ALLOCATIONS</t>
  </si>
  <si>
    <t>CORP ALLOCATIONS</t>
  </si>
  <si>
    <t>RECRUITMENT COSTS</t>
  </si>
  <si>
    <t>USES RATIOS FROM VISTS (ABOVE)</t>
  </si>
  <si>
    <t>411500</t>
  </si>
  <si>
    <t>SBHC MEDICAL</t>
  </si>
  <si>
    <t>SBHC MENTAL HLTH</t>
  </si>
  <si>
    <t xml:space="preserve">PAYROLL </t>
  </si>
  <si>
    <t>PTO</t>
  </si>
  <si>
    <t>120500</t>
  </si>
  <si>
    <t>181500</t>
  </si>
  <si>
    <t>800200</t>
  </si>
  <si>
    <t>801300</t>
  </si>
  <si>
    <t>Medical Assistant - SBHC</t>
  </si>
  <si>
    <t>Outreach &amp; Development Specialist</t>
  </si>
  <si>
    <t>Pharmacist</t>
  </si>
  <si>
    <t>Pharmacy Assistant Coordinator</t>
  </si>
  <si>
    <t>Senior Medical Assistant - SBHC</t>
  </si>
  <si>
    <t>Program Administrative Assistant</t>
  </si>
  <si>
    <t>Program Director - CGC</t>
  </si>
  <si>
    <t>Program Specialist</t>
  </si>
  <si>
    <t>Quality Improvement Director</t>
  </si>
  <si>
    <t>200000</t>
  </si>
  <si>
    <t>MENTAL HLTH</t>
  </si>
  <si>
    <t>School Based Health Centers Costs</t>
  </si>
  <si>
    <t>JENNIFER KNEBEL</t>
  </si>
  <si>
    <t>A-STAFF CONTR FEES</t>
  </si>
  <si>
    <t>B-STAFF CONTR FEES</t>
  </si>
  <si>
    <t>C-STAFF CONTR FEES</t>
  </si>
  <si>
    <t>CONTRACTED STAFF EXPENSE</t>
  </si>
  <si>
    <t>DENTAL</t>
  </si>
  <si>
    <t>See Attachment A - Contracted Staff Costs</t>
  </si>
  <si>
    <t>bad debt</t>
  </si>
  <si>
    <t>Program Manager</t>
  </si>
  <si>
    <t>Psychiatric Nurse Practitioner</t>
  </si>
  <si>
    <t>Psychiatric Nurse Practitioner - Resident</t>
  </si>
  <si>
    <t>PAYROLL SERVICES</t>
  </si>
  <si>
    <t>MEDICAL LAB EXPENSES</t>
  </si>
  <si>
    <t>PHARMACY EXPENSE</t>
  </si>
  <si>
    <t>Access to Care Coordinator</t>
  </si>
  <si>
    <t>AmeriCorps Member</t>
  </si>
  <si>
    <t>Outreach Worker</t>
  </si>
  <si>
    <t>Program Coordinator</t>
  </si>
  <si>
    <t>Program Manager, SBHC</t>
  </si>
  <si>
    <t>Referral Coordinator</t>
  </si>
  <si>
    <t>Dental Assistant</t>
  </si>
  <si>
    <t>100200</t>
  </si>
  <si>
    <t>PANDEMIC REVENUE</t>
  </si>
  <si>
    <t>School Based Costs</t>
  </si>
  <si>
    <t>NET PATIENT REVENUE</t>
  </si>
  <si>
    <t>MEDICAID SUPPLEMENTAL</t>
  </si>
  <si>
    <t>OTHER INCOME</t>
  </si>
  <si>
    <t>PATIENT / SELF PAY</t>
  </si>
  <si>
    <t xml:space="preserve">OTHER </t>
  </si>
  <si>
    <t>Medicaid Supplemental</t>
  </si>
  <si>
    <t xml:space="preserve">PHYSICIAN ASSISTANT </t>
  </si>
  <si>
    <t xml:space="preserve">SPLIT - </t>
  </si>
  <si>
    <t>BAD DEBTS RECLASSED FROM REVENUE</t>
  </si>
  <si>
    <t>AFFILIATES EXPENSES</t>
  </si>
  <si>
    <t>CECN</t>
  </si>
  <si>
    <t>CGC</t>
  </si>
  <si>
    <t>REALTY II</t>
  </si>
  <si>
    <t>REALTY I</t>
  </si>
  <si>
    <t>NIMAA</t>
  </si>
  <si>
    <t>NURSE PRACTITIONERS</t>
  </si>
  <si>
    <t>Total Expenses per Medicaid Cost Report for Community Health Center</t>
  </si>
  <si>
    <t>TOTAL EXPENSES PER FY2020 AFS</t>
  </si>
  <si>
    <t>PR ONLY</t>
  </si>
  <si>
    <t>WEITZMAN</t>
  </si>
  <si>
    <t>Reclass Public Rel &amp; Weitzman</t>
  </si>
  <si>
    <t>DO</t>
  </si>
  <si>
    <t>DIFFERENCE   /  IMMATERIAL</t>
  </si>
  <si>
    <t>Group Trainer</t>
  </si>
  <si>
    <t>Medical Director, Psychiatry</t>
  </si>
  <si>
    <t>MFT</t>
  </si>
  <si>
    <t>LMSW</t>
  </si>
  <si>
    <t>MSW</t>
  </si>
  <si>
    <t>CM</t>
  </si>
  <si>
    <t>LPC, LADC</t>
  </si>
  <si>
    <t>MD</t>
  </si>
  <si>
    <t xml:space="preserve">401 Shippan Avenue, Stamford, CT </t>
  </si>
  <si>
    <t>103 West Broad Street, Stamford, CT</t>
  </si>
  <si>
    <t>81 Holly Hill Lane, Greenwich, CT</t>
  </si>
  <si>
    <t>MSW Intern</t>
  </si>
  <si>
    <t>Case Mgr, Behavioral Health</t>
  </si>
  <si>
    <t>DDS</t>
  </si>
  <si>
    <t>Dental Resident</t>
  </si>
  <si>
    <t>Dental Hygenist Student</t>
  </si>
  <si>
    <t>Dental  Student</t>
  </si>
  <si>
    <t>DC</t>
  </si>
  <si>
    <t>PA</t>
  </si>
  <si>
    <t>CDE</t>
  </si>
  <si>
    <t>DE</t>
  </si>
  <si>
    <t>Staff Nurse</t>
  </si>
  <si>
    <t>Triage Nurse</t>
  </si>
  <si>
    <t>Licensed Practical Nurse</t>
  </si>
  <si>
    <t>Nurse Manager</t>
  </si>
  <si>
    <t>Nurse Practitioner</t>
  </si>
  <si>
    <t>Licensed Practical Nurse - Primary Care Support</t>
  </si>
  <si>
    <t>Nurse Supervisor</t>
  </si>
  <si>
    <t>Community Partner Specialist</t>
  </si>
  <si>
    <t>Family Advocate</t>
  </si>
  <si>
    <t>RN Care Coordinator</t>
  </si>
  <si>
    <t>Nurse Practitioner - SBHC</t>
  </si>
  <si>
    <t>Nurse Practitioner - Resident</t>
  </si>
  <si>
    <t>CE</t>
  </si>
  <si>
    <t>DPM</t>
  </si>
  <si>
    <t>IBCLC</t>
  </si>
  <si>
    <t>RD</t>
  </si>
  <si>
    <t>PRACTITIONER</t>
  </si>
  <si>
    <t>Dental Hygienist</t>
  </si>
  <si>
    <t>Manager SBHC Dental Hygiene</t>
  </si>
  <si>
    <t>FY20 Fringe Rate:</t>
  </si>
  <si>
    <t>MENTAL HEALTH</t>
  </si>
  <si>
    <t>Chief Nursing Officer</t>
  </si>
  <si>
    <t>Psychology Intern</t>
  </si>
  <si>
    <t>CGC Clinical Director</t>
  </si>
  <si>
    <t xml:space="preserve">Psychology Intern </t>
  </si>
  <si>
    <t>A1d  DATA</t>
  </si>
  <si>
    <t>TOTAL MEDICAL</t>
  </si>
  <si>
    <t>Subtotal C1c</t>
  </si>
  <si>
    <t>SBHC Costs</t>
  </si>
  <si>
    <t>Psychiatric Medical Assistant</t>
  </si>
  <si>
    <t>Total A1a-A1d</t>
  </si>
  <si>
    <t>Total B1a-B1c</t>
  </si>
  <si>
    <t>Total C1a-C2e</t>
  </si>
  <si>
    <t>A1d (allocated)</t>
  </si>
  <si>
    <t>B1c (allocated)</t>
  </si>
  <si>
    <t>C1c (allocated)</t>
  </si>
  <si>
    <t>Total Audited Expense</t>
  </si>
  <si>
    <t>Contracted Medical Staff</t>
  </si>
  <si>
    <t>Medical Equipment Depreciation</t>
  </si>
  <si>
    <t>A2d</t>
  </si>
  <si>
    <t>Professional Liability Ins</t>
  </si>
  <si>
    <t>BAD DEBT</t>
  </si>
  <si>
    <t>Reclass of PR &amp; Weitzman</t>
  </si>
  <si>
    <t>SBHC - Medical Costs</t>
  </si>
  <si>
    <t>Contracted Dental Staff</t>
  </si>
  <si>
    <t>Dental Equipment Depreciation</t>
  </si>
  <si>
    <t>B2d</t>
  </si>
  <si>
    <t>Contracted Mental Health Staff</t>
  </si>
  <si>
    <t>MH Equipment Depreciation</t>
  </si>
  <si>
    <t>C2d</t>
  </si>
  <si>
    <t>SBHC - Behavioral Health Costs</t>
  </si>
  <si>
    <t>E1h</t>
  </si>
  <si>
    <t>TOTAL EXPENSES</t>
  </si>
  <si>
    <t>By Line Item</t>
  </si>
  <si>
    <t>Subtotals</t>
  </si>
  <si>
    <t>CONTRACTUAL EXP</t>
  </si>
  <si>
    <t>DM</t>
  </si>
  <si>
    <t>PER FORM A-5 GRAND TOTAL COSTS</t>
  </si>
  <si>
    <t>Jennifer Knebel</t>
  </si>
  <si>
    <t>Interim Chief Financial Officer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</si>
</sst>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_)"/>
    <numFmt numFmtId="167" formatCode="0.0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_);\(0.00\)"/>
    <numFmt numFmtId="171" formatCode="[$-409]dddd\,\ mmmm\ dd\,\ yyyy"/>
    <numFmt numFmtId="172" formatCode="0_);\(0\)"/>
    <numFmt numFmtId="173" formatCode="mm/dd/yyyy"/>
    <numFmt numFmtId="174" formatCode="mm/dd/yy;@"/>
    <numFmt numFmtId="175" formatCode="0.0%"/>
    <numFmt numFmtId="176" formatCode="0.000%"/>
    <numFmt numFmtId="177" formatCode="0.0000%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,##0.00;\(#,###,##0.00\)"/>
    <numFmt numFmtId="184" formatCode="_(* #,##0.00_);_(* \(#,##0.00\);_(* \-??_);_(@_)"/>
    <numFmt numFmtId="185" formatCode="&quot;$&quot;#,##0.00;\(&quot;$&quot;#,##0.00\)"/>
    <numFmt numFmtId="186" formatCode="#,##0.00000000_);[Red]\(#,##0.00000000\)"/>
    <numFmt numFmtId="187" formatCode="_(* #,##0.000_);_(* \(#,##0.000\);_(* &quot;-&quot;??_);_(@_)"/>
    <numFmt numFmtId="188" formatCode="_(* #,##0.0000_);_(* \(#,##0.0000\);_(* &quot;-&quot;??_);_(@_)"/>
    <numFmt numFmtId="189" formatCode="#,##0.0"/>
    <numFmt numFmtId="190" formatCode="#,##0.0_);\(#,##0.0\)"/>
    <numFmt numFmtId="191" formatCode="#,##0.0_);[Red]\(#,##0.0\)"/>
    <numFmt numFmtId="192" formatCode="_(* #,##0.000_);_(* \(#,##0.000\);_(* &quot;-&quot;???_);_(@_)"/>
    <numFmt numFmtId="193" formatCode="#,##0.000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&quot;$&quot;* #,##0.0_);_(&quot;$&quot;* \(#,##0.0\);_(&quot;$&quot;* &quot;-&quot;??_);_(@_)"/>
  </numFmts>
  <fonts count="8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8"/>
      <color indexed="12"/>
      <name val="Helv"/>
      <family val="0"/>
    </font>
    <font>
      <b/>
      <i/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8"/>
      <name val="Helv"/>
      <family val="0"/>
    </font>
    <font>
      <b/>
      <sz val="9"/>
      <name val="Helv"/>
      <family val="0"/>
    </font>
    <font>
      <b/>
      <u val="single"/>
      <sz val="12"/>
      <name val="Helv"/>
      <family val="0"/>
    </font>
    <font>
      <b/>
      <i/>
      <sz val="12"/>
      <name val="Helv"/>
      <family val="0"/>
    </font>
    <font>
      <b/>
      <sz val="11"/>
      <name val="Arial"/>
      <family val="2"/>
    </font>
    <font>
      <b/>
      <vertAlign val="superscript"/>
      <sz val="10"/>
      <name val="Helv"/>
      <family val="0"/>
    </font>
    <font>
      <b/>
      <i/>
      <sz val="10"/>
      <name val="Helv"/>
      <family val="0"/>
    </font>
    <font>
      <b/>
      <sz val="12"/>
      <color indexed="8"/>
      <name val="Helv"/>
      <family val="0"/>
    </font>
    <font>
      <b/>
      <i/>
      <sz val="8"/>
      <name val="Helv"/>
      <family val="0"/>
    </font>
    <font>
      <b/>
      <i/>
      <vertAlign val="superscript"/>
      <sz val="8"/>
      <name val="Helv"/>
      <family val="0"/>
    </font>
    <font>
      <b/>
      <u val="single"/>
      <sz val="10"/>
      <name val="Helv"/>
      <family val="0"/>
    </font>
    <font>
      <b/>
      <i/>
      <u val="single"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name val="Helv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Helv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Helv"/>
      <family val="0"/>
    </font>
    <font>
      <b/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2"/>
      <color rgb="FFFF0000"/>
      <name val="Calibri"/>
      <family val="2"/>
    </font>
    <font>
      <b/>
      <sz val="10"/>
      <color theme="5" tint="-0.24997000396251678"/>
      <name val="Arial"/>
      <family val="2"/>
    </font>
    <font>
      <sz val="10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29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29" fillId="5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29" fillId="7" borderId="0" applyNumberFormat="0" applyBorder="0" applyAlignment="0" applyProtection="0"/>
    <xf numFmtId="0" fontId="62" fillId="6" borderId="0" applyNumberFormat="0" applyBorder="0" applyAlignment="0" applyProtection="0"/>
    <xf numFmtId="0" fontId="62" fillId="8" borderId="0" applyNumberFormat="0" applyBorder="0" applyAlignment="0" applyProtection="0"/>
    <xf numFmtId="0" fontId="29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29" fillId="11" borderId="0" applyNumberFormat="0" applyBorder="0" applyAlignment="0" applyProtection="0"/>
    <xf numFmtId="0" fontId="62" fillId="10" borderId="0" applyNumberFormat="0" applyBorder="0" applyAlignment="0" applyProtection="0"/>
    <xf numFmtId="0" fontId="62" fillId="12" borderId="0" applyNumberFormat="0" applyBorder="0" applyAlignment="0" applyProtection="0"/>
    <xf numFmtId="0" fontId="29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14" borderId="0" applyNumberFormat="0" applyBorder="0" applyAlignment="0" applyProtection="0"/>
    <xf numFmtId="0" fontId="29" fillId="15" borderId="0" applyNumberFormat="0" applyBorder="0" applyAlignment="0" applyProtection="0"/>
    <xf numFmtId="0" fontId="62" fillId="14" borderId="0" applyNumberFormat="0" applyBorder="0" applyAlignment="0" applyProtection="0"/>
    <xf numFmtId="0" fontId="62" fillId="16" borderId="0" applyNumberFormat="0" applyBorder="0" applyAlignment="0" applyProtection="0"/>
    <xf numFmtId="0" fontId="29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29" fillId="19" borderId="0" applyNumberFormat="0" applyBorder="0" applyAlignment="0" applyProtection="0"/>
    <xf numFmtId="0" fontId="62" fillId="18" borderId="0" applyNumberFormat="0" applyBorder="0" applyAlignment="0" applyProtection="0"/>
    <xf numFmtId="0" fontId="62" fillId="20" borderId="0" applyNumberFormat="0" applyBorder="0" applyAlignment="0" applyProtection="0"/>
    <xf numFmtId="0" fontId="29" fillId="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29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29" fillId="23" borderId="0" applyNumberFormat="0" applyBorder="0" applyAlignment="0" applyProtection="0"/>
    <xf numFmtId="0" fontId="62" fillId="22" borderId="0" applyNumberFormat="0" applyBorder="0" applyAlignment="0" applyProtection="0"/>
    <xf numFmtId="0" fontId="63" fillId="24" borderId="0" applyNumberFormat="0" applyBorder="0" applyAlignment="0" applyProtection="0"/>
    <xf numFmtId="0" fontId="30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6" borderId="0" applyNumberFormat="0" applyBorder="0" applyAlignment="0" applyProtection="0"/>
    <xf numFmtId="0" fontId="30" fillId="17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30" fillId="19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30" fillId="29" borderId="0" applyNumberFormat="0" applyBorder="0" applyAlignment="0" applyProtection="0"/>
    <xf numFmtId="0" fontId="63" fillId="28" borderId="0" applyNumberFormat="0" applyBorder="0" applyAlignment="0" applyProtection="0"/>
    <xf numFmtId="0" fontId="63" fillId="30" borderId="0" applyNumberFormat="0" applyBorder="0" applyAlignment="0" applyProtection="0"/>
    <xf numFmtId="0" fontId="30" fillId="31" borderId="0" applyNumberFormat="0" applyBorder="0" applyAlignment="0" applyProtection="0"/>
    <xf numFmtId="0" fontId="63" fillId="30" borderId="0" applyNumberFormat="0" applyBorder="0" applyAlignment="0" applyProtection="0"/>
    <xf numFmtId="0" fontId="63" fillId="32" borderId="0" applyNumberFormat="0" applyBorder="0" applyAlignment="0" applyProtection="0"/>
    <xf numFmtId="0" fontId="30" fillId="33" borderId="0" applyNumberFormat="0" applyBorder="0" applyAlignment="0" applyProtection="0"/>
    <xf numFmtId="0" fontId="63" fillId="32" borderId="0" applyNumberFormat="0" applyBorder="0" applyAlignment="0" applyProtection="0"/>
    <xf numFmtId="0" fontId="63" fillId="34" borderId="0" applyNumberFormat="0" applyBorder="0" applyAlignment="0" applyProtection="0"/>
    <xf numFmtId="0" fontId="30" fillId="35" borderId="0" applyNumberFormat="0" applyBorder="0" applyAlignment="0" applyProtection="0"/>
    <xf numFmtId="0" fontId="63" fillId="34" borderId="0" applyNumberFormat="0" applyBorder="0" applyAlignment="0" applyProtection="0"/>
    <xf numFmtId="0" fontId="63" fillId="36" borderId="0" applyNumberFormat="0" applyBorder="0" applyAlignment="0" applyProtection="0"/>
    <xf numFmtId="0" fontId="30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38" borderId="0" applyNumberFormat="0" applyBorder="0" applyAlignment="0" applyProtection="0"/>
    <xf numFmtId="0" fontId="30" fillId="39" borderId="0" applyNumberFormat="0" applyBorder="0" applyAlignment="0" applyProtection="0"/>
    <xf numFmtId="0" fontId="63" fillId="38" borderId="0" applyNumberFormat="0" applyBorder="0" applyAlignment="0" applyProtection="0"/>
    <xf numFmtId="0" fontId="63" fillId="40" borderId="0" applyNumberFormat="0" applyBorder="0" applyAlignment="0" applyProtection="0"/>
    <xf numFmtId="0" fontId="30" fillId="2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30" fillId="31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30" fillId="43" borderId="0" applyNumberFormat="0" applyBorder="0" applyAlignment="0" applyProtection="0"/>
    <xf numFmtId="0" fontId="63" fillId="42" borderId="0" applyNumberFormat="0" applyBorder="0" applyAlignment="0" applyProtection="0"/>
    <xf numFmtId="0" fontId="64" fillId="44" borderId="0" applyNumberFormat="0" applyBorder="0" applyAlignment="0" applyProtection="0"/>
    <xf numFmtId="0" fontId="31" fillId="5" borderId="0" applyNumberFormat="0" applyBorder="0" applyAlignment="0" applyProtection="0"/>
    <xf numFmtId="0" fontId="64" fillId="44" borderId="0" applyNumberFormat="0" applyBorder="0" applyAlignment="0" applyProtection="0"/>
    <xf numFmtId="0" fontId="65" fillId="45" borderId="1" applyNumberFormat="0" applyAlignment="0" applyProtection="0"/>
    <xf numFmtId="0" fontId="32" fillId="46" borderId="2" applyNumberFormat="0" applyAlignment="0" applyProtection="0"/>
    <xf numFmtId="0" fontId="65" fillId="45" borderId="1" applyNumberFormat="0" applyAlignment="0" applyProtection="0"/>
    <xf numFmtId="0" fontId="66" fillId="47" borderId="3" applyNumberFormat="0" applyAlignment="0" applyProtection="0"/>
    <xf numFmtId="0" fontId="33" fillId="48" borderId="4" applyNumberFormat="0" applyAlignment="0" applyProtection="0"/>
    <xf numFmtId="0" fontId="66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0" fillId="0" borderId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48" fillId="0" borderId="0">
      <alignment/>
      <protection/>
    </xf>
    <xf numFmtId="0" fontId="69" fillId="49" borderId="0" applyNumberFormat="0" applyBorder="0" applyAlignment="0" applyProtection="0"/>
    <xf numFmtId="0" fontId="35" fillId="7" borderId="0" applyNumberFormat="0" applyBorder="0" applyAlignment="0" applyProtection="0"/>
    <xf numFmtId="0" fontId="69" fillId="49" borderId="0" applyNumberFormat="0" applyBorder="0" applyAlignment="0" applyProtection="0"/>
    <xf numFmtId="0" fontId="70" fillId="0" borderId="5" applyNumberFormat="0" applyFill="0" applyAlignment="0" applyProtection="0"/>
    <xf numFmtId="0" fontId="36" fillId="0" borderId="6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37" fillId="0" borderId="8" applyNumberFormat="0" applyFill="0" applyAlignment="0" applyProtection="0"/>
    <xf numFmtId="0" fontId="71" fillId="0" borderId="7" applyNumberFormat="0" applyFill="0" applyAlignment="0" applyProtection="0"/>
    <xf numFmtId="0" fontId="72" fillId="0" borderId="9" applyNumberFormat="0" applyFill="0" applyAlignment="0" applyProtection="0"/>
    <xf numFmtId="0" fontId="38" fillId="0" borderId="10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0" borderId="1" applyNumberFormat="0" applyAlignment="0" applyProtection="0"/>
    <xf numFmtId="0" fontId="39" fillId="13" borderId="2" applyNumberFormat="0" applyAlignment="0" applyProtection="0"/>
    <xf numFmtId="0" fontId="73" fillId="50" borderId="1" applyNumberFormat="0" applyAlignment="0" applyProtection="0"/>
    <xf numFmtId="0" fontId="74" fillId="0" borderId="11" applyNumberFormat="0" applyFill="0" applyAlignment="0" applyProtection="0"/>
    <xf numFmtId="0" fontId="40" fillId="0" borderId="12" applyNumberFormat="0" applyFill="0" applyAlignment="0" applyProtection="0"/>
    <xf numFmtId="0" fontId="74" fillId="0" borderId="11" applyNumberFormat="0" applyFill="0" applyAlignment="0" applyProtection="0"/>
    <xf numFmtId="0" fontId="75" fillId="51" borderId="0" applyNumberFormat="0" applyBorder="0" applyAlignment="0" applyProtection="0"/>
    <xf numFmtId="0" fontId="41" fillId="52" borderId="0" applyNumberFormat="0" applyBorder="0" applyAlignment="0" applyProtection="0"/>
    <xf numFmtId="0" fontId="75" fillId="51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6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7" fillId="0" borderId="0">
      <alignment/>
      <protection/>
    </xf>
    <xf numFmtId="0" fontId="62" fillId="0" borderId="0">
      <alignment/>
      <protection/>
    </xf>
    <xf numFmtId="0" fontId="49" fillId="0" borderId="0">
      <alignment/>
      <protection/>
    </xf>
    <xf numFmtId="165" fontId="4" fillId="0" borderId="0">
      <alignment/>
      <protection/>
    </xf>
    <xf numFmtId="166" fontId="4" fillId="0" borderId="0">
      <alignment/>
      <protection/>
    </xf>
    <xf numFmtId="0" fontId="0" fillId="53" borderId="13" applyNumberFormat="0" applyFont="0" applyAlignment="0" applyProtection="0"/>
    <xf numFmtId="0" fontId="29" fillId="54" borderId="14" applyNumberFormat="0" applyFont="0" applyAlignment="0" applyProtection="0"/>
    <xf numFmtId="0" fontId="62" fillId="53" borderId="13" applyNumberFormat="0" applyFont="0" applyAlignment="0" applyProtection="0"/>
    <xf numFmtId="0" fontId="77" fillId="45" borderId="15" applyNumberFormat="0" applyAlignment="0" applyProtection="0"/>
    <xf numFmtId="0" fontId="42" fillId="46" borderId="16" applyNumberFormat="0" applyAlignment="0" applyProtection="0"/>
    <xf numFmtId="0" fontId="77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7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44" fillId="0" borderId="18" applyNumberFormat="0" applyFill="0" applyAlignment="0" applyProtection="0"/>
    <xf numFmtId="0" fontId="79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1055">
    <xf numFmtId="0" fontId="0" fillId="0" borderId="0" xfId="0" applyAlignment="1">
      <alignment/>
    </xf>
    <xf numFmtId="166" fontId="5" fillId="52" borderId="19" xfId="180" applyFont="1" applyFill="1" applyBorder="1" applyAlignment="1" applyProtection="1">
      <alignment horizontal="center"/>
      <protection/>
    </xf>
    <xf numFmtId="164" fontId="5" fillId="52" borderId="19" xfId="96" applyNumberFormat="1" applyFont="1" applyFill="1" applyBorder="1" applyAlignment="1" applyProtection="1">
      <alignment horizontal="center"/>
      <protection/>
    </xf>
    <xf numFmtId="166" fontId="5" fillId="0" borderId="20" xfId="180" applyFont="1" applyBorder="1" applyAlignment="1" applyProtection="1">
      <alignment horizontal="center"/>
      <protection/>
    </xf>
    <xf numFmtId="164" fontId="5" fillId="0" borderId="21" xfId="96" applyNumberFormat="1" applyFont="1" applyBorder="1" applyAlignment="1" applyProtection="1" quotePrefix="1">
      <alignment horizontal="center"/>
      <protection/>
    </xf>
    <xf numFmtId="164" fontId="5" fillId="0" borderId="21" xfId="96" applyNumberFormat="1" applyFont="1" applyBorder="1" applyAlignment="1" applyProtection="1">
      <alignment horizontal="center"/>
      <protection/>
    </xf>
    <xf numFmtId="166" fontId="5" fillId="0" borderId="21" xfId="180" applyFont="1" applyBorder="1" applyAlignment="1" applyProtection="1">
      <alignment horizontal="center"/>
      <protection/>
    </xf>
    <xf numFmtId="166" fontId="5" fillId="52" borderId="22" xfId="180" applyFont="1" applyFill="1" applyBorder="1" applyAlignment="1" applyProtection="1">
      <alignment horizontal="left"/>
      <protection/>
    </xf>
    <xf numFmtId="166" fontId="6" fillId="55" borderId="22" xfId="180" applyFont="1" applyFill="1" applyBorder="1" applyProtection="1">
      <alignment/>
      <protection/>
    </xf>
    <xf numFmtId="164" fontId="6" fillId="55" borderId="22" xfId="96" applyNumberFormat="1" applyFont="1" applyFill="1" applyBorder="1" applyAlignment="1" applyProtection="1">
      <alignment/>
      <protection/>
    </xf>
    <xf numFmtId="166" fontId="6" fillId="54" borderId="22" xfId="180" applyFont="1" applyFill="1" applyBorder="1" applyAlignment="1" applyProtection="1">
      <alignment horizontal="left"/>
      <protection/>
    </xf>
    <xf numFmtId="166" fontId="5" fillId="54" borderId="20" xfId="180" applyFont="1" applyFill="1" applyBorder="1" applyAlignment="1" applyProtection="1" quotePrefix="1">
      <alignment horizontal="left"/>
      <protection/>
    </xf>
    <xf numFmtId="165" fontId="4" fillId="56" borderId="0" xfId="179" applyFill="1" applyProtection="1">
      <alignment/>
      <protection/>
    </xf>
    <xf numFmtId="165" fontId="4" fillId="56" borderId="0" xfId="179" applyFill="1" applyBorder="1" applyProtection="1">
      <alignment/>
      <protection/>
    </xf>
    <xf numFmtId="0" fontId="0" fillId="56" borderId="0" xfId="0" applyFill="1" applyAlignment="1" applyProtection="1">
      <alignment/>
      <protection/>
    </xf>
    <xf numFmtId="165" fontId="3" fillId="56" borderId="0" xfId="179" applyFont="1" applyFill="1" applyProtection="1">
      <alignment/>
      <protection/>
    </xf>
    <xf numFmtId="166" fontId="8" fillId="56" borderId="0" xfId="180" applyFont="1" applyFill="1" applyProtection="1">
      <alignment/>
      <protection/>
    </xf>
    <xf numFmtId="166" fontId="8" fillId="56" borderId="0" xfId="180" applyFont="1" applyFill="1" applyAlignment="1" applyProtection="1">
      <alignment horizontal="right"/>
      <protection/>
    </xf>
    <xf numFmtId="166" fontId="9" fillId="56" borderId="0" xfId="180" applyFont="1" applyFill="1" applyProtection="1">
      <alignment/>
      <protection/>
    </xf>
    <xf numFmtId="166" fontId="10" fillId="56" borderId="0" xfId="180" applyFont="1" applyFill="1" applyProtection="1">
      <alignment/>
      <protection/>
    </xf>
    <xf numFmtId="164" fontId="10" fillId="56" borderId="0" xfId="96" applyNumberFormat="1" applyFont="1" applyFill="1" applyAlignment="1" applyProtection="1">
      <alignment/>
      <protection/>
    </xf>
    <xf numFmtId="166" fontId="10" fillId="56" borderId="0" xfId="180" applyFont="1" applyFill="1" applyAlignment="1" applyProtection="1">
      <alignment horizontal="right"/>
      <protection/>
    </xf>
    <xf numFmtId="166" fontId="4" fillId="56" borderId="0" xfId="180" applyFill="1" applyProtection="1">
      <alignment/>
      <protection/>
    </xf>
    <xf numFmtId="166" fontId="6" fillId="56" borderId="23" xfId="180" applyFont="1" applyFill="1" applyBorder="1" applyAlignment="1" applyProtection="1">
      <alignment horizontal="left"/>
      <protection/>
    </xf>
    <xf numFmtId="166" fontId="6" fillId="56" borderId="0" xfId="180" applyFont="1" applyFill="1" applyBorder="1" applyAlignment="1" applyProtection="1">
      <alignment horizontal="left"/>
      <protection/>
    </xf>
    <xf numFmtId="37" fontId="11" fillId="56" borderId="24" xfId="180" applyNumberFormat="1" applyFont="1" applyFill="1" applyBorder="1" applyAlignment="1" applyProtection="1">
      <alignment/>
      <protection locked="0"/>
    </xf>
    <xf numFmtId="166" fontId="6" fillId="56" borderId="0" xfId="180" applyFont="1" applyFill="1" applyBorder="1" applyAlignment="1" applyProtection="1" quotePrefix="1">
      <alignment horizontal="left"/>
      <protection/>
    </xf>
    <xf numFmtId="0" fontId="7" fillId="56" borderId="0" xfId="0" applyFont="1" applyFill="1" applyBorder="1" applyAlignment="1" applyProtection="1">
      <alignment/>
      <protection/>
    </xf>
    <xf numFmtId="37" fontId="6" fillId="56" borderId="23" xfId="180" applyNumberFormat="1" applyFont="1" applyFill="1" applyBorder="1" applyProtection="1">
      <alignment/>
      <protection/>
    </xf>
    <xf numFmtId="37" fontId="11" fillId="56" borderId="23" xfId="180" applyNumberFormat="1" applyFont="1" applyFill="1" applyBorder="1" applyProtection="1">
      <alignment/>
      <protection locked="0"/>
    </xf>
    <xf numFmtId="166" fontId="3" fillId="56" borderId="0" xfId="180" applyFont="1" applyFill="1" applyAlignment="1" applyProtection="1">
      <alignment horizontal="center"/>
      <protection/>
    </xf>
    <xf numFmtId="164" fontId="4" fillId="56" borderId="0" xfId="96" applyNumberFormat="1" applyFont="1" applyFill="1" applyAlignment="1" applyProtection="1">
      <alignment/>
      <protection/>
    </xf>
    <xf numFmtId="165" fontId="3" fillId="56" borderId="0" xfId="179" applyFont="1" applyFill="1" applyBorder="1" applyAlignment="1" applyProtection="1">
      <alignment horizontal="left"/>
      <protection/>
    </xf>
    <xf numFmtId="166" fontId="4" fillId="56" borderId="0" xfId="180" applyFill="1" applyBorder="1" applyProtection="1">
      <alignment/>
      <protection/>
    </xf>
    <xf numFmtId="37" fontId="11" fillId="56" borderId="25" xfId="96" applyNumberFormat="1" applyFont="1" applyFill="1" applyBorder="1" applyAlignment="1" applyProtection="1">
      <alignment/>
      <protection locked="0"/>
    </xf>
    <xf numFmtId="37" fontId="6" fillId="56" borderId="25" xfId="96" applyNumberFormat="1" applyFont="1" applyFill="1" applyBorder="1" applyAlignment="1" applyProtection="1">
      <alignment/>
      <protection/>
    </xf>
    <xf numFmtId="37" fontId="6" fillId="56" borderId="24" xfId="96" applyNumberFormat="1" applyFont="1" applyFill="1" applyBorder="1" applyAlignment="1" applyProtection="1">
      <alignment/>
      <protection/>
    </xf>
    <xf numFmtId="37" fontId="11" fillId="56" borderId="26" xfId="96" applyNumberFormat="1" applyFont="1" applyFill="1" applyBorder="1" applyAlignment="1" applyProtection="1">
      <alignment/>
      <protection locked="0"/>
    </xf>
    <xf numFmtId="37" fontId="11" fillId="56" borderId="24" xfId="96" applyNumberFormat="1" applyFont="1" applyFill="1" applyBorder="1" applyAlignment="1" applyProtection="1">
      <alignment/>
      <protection locked="0"/>
    </xf>
    <xf numFmtId="37" fontId="11" fillId="56" borderId="23" xfId="96" applyNumberFormat="1" applyFont="1" applyFill="1" applyBorder="1" applyAlignment="1" applyProtection="1">
      <alignment/>
      <protection locked="0"/>
    </xf>
    <xf numFmtId="37" fontId="6" fillId="56" borderId="23" xfId="96" applyNumberFormat="1" applyFont="1" applyFill="1" applyBorder="1" applyAlignment="1" applyProtection="1">
      <alignment/>
      <protection/>
    </xf>
    <xf numFmtId="37" fontId="11" fillId="56" borderId="27" xfId="96" applyNumberFormat="1" applyFont="1" applyFill="1" applyBorder="1" applyAlignment="1" applyProtection="1">
      <alignment/>
      <protection locked="0"/>
    </xf>
    <xf numFmtId="165" fontId="4" fillId="56" borderId="0" xfId="179" applyFont="1" applyFill="1" applyBorder="1" applyAlignment="1" applyProtection="1">
      <alignment horizontal="left"/>
      <protection/>
    </xf>
    <xf numFmtId="165" fontId="4" fillId="56" borderId="0" xfId="179" applyFill="1" applyBorder="1" applyAlignment="1" applyProtection="1">
      <alignment horizontal="left" vertical="top" wrapText="1"/>
      <protection locked="0"/>
    </xf>
    <xf numFmtId="165" fontId="3" fillId="56" borderId="0" xfId="179" applyFont="1" applyFill="1" applyBorder="1" applyAlignment="1" applyProtection="1">
      <alignment/>
      <protection/>
    </xf>
    <xf numFmtId="165" fontId="13" fillId="56" borderId="0" xfId="179" applyFont="1" applyFill="1" applyBorder="1" applyAlignment="1" applyProtection="1">
      <alignment horizontal="left"/>
      <protection/>
    </xf>
    <xf numFmtId="165" fontId="16" fillId="56" borderId="0" xfId="179" applyFont="1" applyFill="1" applyBorder="1" applyAlignment="1" applyProtection="1" quotePrefix="1">
      <alignment horizontal="left"/>
      <protection/>
    </xf>
    <xf numFmtId="165" fontId="16" fillId="56" borderId="0" xfId="179" applyFont="1" applyFill="1" applyBorder="1" applyAlignment="1" applyProtection="1">
      <alignment horizontal="left"/>
      <protection/>
    </xf>
    <xf numFmtId="165" fontId="16" fillId="56" borderId="0" xfId="179" applyFont="1" applyFill="1" applyAlignment="1" applyProtection="1" quotePrefix="1">
      <alignment horizontal="right"/>
      <protection/>
    </xf>
    <xf numFmtId="165" fontId="13" fillId="56" borderId="0" xfId="179" applyFont="1" applyFill="1" applyBorder="1" applyAlignment="1" applyProtection="1">
      <alignment/>
      <protection locked="0"/>
    </xf>
    <xf numFmtId="14" fontId="13" fillId="56" borderId="28" xfId="179" applyNumberFormat="1" applyFont="1" applyFill="1" applyBorder="1" applyAlignment="1" applyProtection="1">
      <alignment horizontal="right"/>
      <protection locked="0"/>
    </xf>
    <xf numFmtId="165" fontId="13" fillId="56" borderId="0" xfId="179" applyFont="1" applyFill="1" applyBorder="1" applyAlignment="1" applyProtection="1">
      <alignment horizontal="center"/>
      <protection locked="0"/>
    </xf>
    <xf numFmtId="14" fontId="13" fillId="56" borderId="0" xfId="179" applyNumberFormat="1" applyFont="1" applyFill="1" applyBorder="1" applyAlignment="1" applyProtection="1">
      <alignment horizontal="right"/>
      <protection locked="0"/>
    </xf>
    <xf numFmtId="165" fontId="16" fillId="56" borderId="28" xfId="179" applyFont="1" applyFill="1" applyBorder="1" applyAlignment="1" applyProtection="1">
      <alignment horizontal="left"/>
      <protection locked="0"/>
    </xf>
    <xf numFmtId="165" fontId="13" fillId="56" borderId="28" xfId="179" applyFont="1" applyFill="1" applyBorder="1" applyAlignment="1" applyProtection="1">
      <alignment horizontal="left"/>
      <protection locked="0"/>
    </xf>
    <xf numFmtId="165" fontId="16" fillId="57" borderId="29" xfId="179" applyFont="1" applyFill="1" applyBorder="1" applyProtection="1">
      <alignment/>
      <protection/>
    </xf>
    <xf numFmtId="165" fontId="16" fillId="56" borderId="30" xfId="179" applyFont="1" applyFill="1" applyBorder="1" applyAlignment="1" applyProtection="1">
      <alignment horizontal="left"/>
      <protection/>
    </xf>
    <xf numFmtId="165" fontId="16" fillId="56" borderId="31" xfId="179" applyFont="1" applyFill="1" applyBorder="1" applyAlignment="1" applyProtection="1">
      <alignment horizontal="left"/>
      <protection/>
    </xf>
    <xf numFmtId="165" fontId="16" fillId="56" borderId="32" xfId="179" applyFont="1" applyFill="1" applyBorder="1" applyAlignment="1" applyProtection="1">
      <alignment/>
      <protection/>
    </xf>
    <xf numFmtId="165" fontId="16" fillId="56" borderId="33" xfId="179" applyFont="1" applyFill="1" applyBorder="1" applyAlignment="1" applyProtection="1">
      <alignment horizontal="left"/>
      <protection/>
    </xf>
    <xf numFmtId="165" fontId="13" fillId="56" borderId="0" xfId="179" applyFont="1" applyFill="1" applyBorder="1" applyAlignment="1" applyProtection="1">
      <alignment horizontal="right"/>
      <protection/>
    </xf>
    <xf numFmtId="0" fontId="21" fillId="56" borderId="0" xfId="0" applyFont="1" applyFill="1" applyBorder="1" applyAlignment="1" applyProtection="1">
      <alignment horizontal="right"/>
      <protection/>
    </xf>
    <xf numFmtId="14" fontId="13" fillId="56" borderId="34" xfId="179" applyNumberFormat="1" applyFont="1" applyFill="1" applyBorder="1" applyAlignment="1" applyProtection="1">
      <alignment horizontal="right"/>
      <protection locked="0"/>
    </xf>
    <xf numFmtId="14" fontId="13" fillId="56" borderId="35" xfId="179" applyNumberFormat="1" applyFont="1" applyFill="1" applyBorder="1" applyAlignment="1" applyProtection="1">
      <alignment horizontal="right"/>
      <protection locked="0"/>
    </xf>
    <xf numFmtId="165" fontId="16" fillId="56" borderId="32" xfId="179" applyFont="1" applyFill="1" applyBorder="1" applyAlignment="1" applyProtection="1">
      <alignment horizontal="left"/>
      <protection/>
    </xf>
    <xf numFmtId="165" fontId="16" fillId="56" borderId="0" xfId="179" applyFont="1" applyFill="1" applyBorder="1" applyProtection="1">
      <alignment/>
      <protection/>
    </xf>
    <xf numFmtId="165" fontId="16" fillId="56" borderId="35" xfId="179" applyFont="1" applyFill="1" applyBorder="1" applyProtection="1">
      <alignment/>
      <protection/>
    </xf>
    <xf numFmtId="165" fontId="13" fillId="56" borderId="0" xfId="179" applyFont="1" applyFill="1" applyBorder="1" applyAlignment="1" applyProtection="1">
      <alignment/>
      <protection/>
    </xf>
    <xf numFmtId="0" fontId="21" fillId="56" borderId="0" xfId="0" applyFont="1" applyFill="1" applyBorder="1" applyAlignment="1" applyProtection="1">
      <alignment/>
      <protection/>
    </xf>
    <xf numFmtId="165" fontId="19" fillId="52" borderId="30" xfId="179" applyFont="1" applyFill="1" applyBorder="1" applyAlignment="1" applyProtection="1">
      <alignment horizontal="centerContinuous"/>
      <protection/>
    </xf>
    <xf numFmtId="165" fontId="19" fillId="52" borderId="31" xfId="179" applyFont="1" applyFill="1" applyBorder="1" applyAlignment="1" applyProtection="1">
      <alignment horizontal="centerContinuous"/>
      <protection/>
    </xf>
    <xf numFmtId="165" fontId="16" fillId="52" borderId="31" xfId="179" applyFont="1" applyFill="1" applyBorder="1" applyAlignment="1" applyProtection="1">
      <alignment horizontal="centerContinuous"/>
      <protection/>
    </xf>
    <xf numFmtId="165" fontId="16" fillId="52" borderId="36" xfId="179" applyFont="1" applyFill="1" applyBorder="1" applyAlignment="1" applyProtection="1">
      <alignment horizontal="centerContinuous"/>
      <protection/>
    </xf>
    <xf numFmtId="165" fontId="15" fillId="56" borderId="0" xfId="179" applyFont="1" applyFill="1" applyBorder="1" applyAlignment="1" applyProtection="1">
      <alignment/>
      <protection/>
    </xf>
    <xf numFmtId="165" fontId="16" fillId="56" borderId="30" xfId="179" applyFont="1" applyFill="1" applyBorder="1" applyAlignment="1" applyProtection="1">
      <alignment/>
      <protection/>
    </xf>
    <xf numFmtId="165" fontId="18" fillId="56" borderId="0" xfId="179" applyFont="1" applyFill="1" applyBorder="1" applyAlignment="1" applyProtection="1">
      <alignment/>
      <protection/>
    </xf>
    <xf numFmtId="165" fontId="18" fillId="56" borderId="0" xfId="179" applyFont="1" applyFill="1" applyBorder="1" applyAlignment="1" applyProtection="1">
      <alignment horizontal="center"/>
      <protection/>
    </xf>
    <xf numFmtId="165" fontId="3" fillId="56" borderId="31" xfId="179" applyFont="1" applyFill="1" applyBorder="1" applyAlignment="1" applyProtection="1">
      <alignment horizontal="left"/>
      <protection/>
    </xf>
    <xf numFmtId="165" fontId="3" fillId="56" borderId="31" xfId="179" applyFont="1" applyFill="1" applyBorder="1" applyAlignment="1" applyProtection="1">
      <alignment horizontal="right"/>
      <protection/>
    </xf>
    <xf numFmtId="165" fontId="4" fillId="56" borderId="31" xfId="179" applyFill="1" applyBorder="1" applyProtection="1">
      <alignment/>
      <protection/>
    </xf>
    <xf numFmtId="165" fontId="3" fillId="56" borderId="36" xfId="179" applyFont="1" applyFill="1" applyBorder="1" applyAlignment="1" applyProtection="1">
      <alignment horizontal="left"/>
      <protection/>
    </xf>
    <xf numFmtId="165" fontId="4" fillId="56" borderId="35" xfId="179" applyFill="1" applyBorder="1" applyProtection="1">
      <alignment/>
      <protection/>
    </xf>
    <xf numFmtId="165" fontId="3" fillId="56" borderId="31" xfId="179" applyFont="1" applyFill="1" applyBorder="1" applyAlignment="1" applyProtection="1">
      <alignment horizontal="center"/>
      <protection/>
    </xf>
    <xf numFmtId="165" fontId="4" fillId="56" borderId="32" xfId="179" applyFill="1" applyBorder="1" applyProtection="1">
      <alignment/>
      <protection/>
    </xf>
    <xf numFmtId="165" fontId="3" fillId="56" borderId="29" xfId="179" applyFont="1" applyFill="1" applyBorder="1" applyAlignment="1" applyProtection="1">
      <alignment vertical="top"/>
      <protection/>
    </xf>
    <xf numFmtId="165" fontId="18" fillId="56" borderId="0" xfId="179" applyFont="1" applyFill="1" applyBorder="1" applyAlignment="1" applyProtection="1">
      <alignment horizontal="center"/>
      <protection/>
    </xf>
    <xf numFmtId="14" fontId="3" fillId="56" borderId="37" xfId="179" applyNumberFormat="1" applyFont="1" applyFill="1" applyBorder="1" applyAlignment="1" applyProtection="1">
      <alignment horizontal="center"/>
      <protection/>
    </xf>
    <xf numFmtId="166" fontId="9" fillId="56" borderId="0" xfId="180" applyFont="1" applyFill="1" applyBorder="1" applyProtection="1">
      <alignment/>
      <protection/>
    </xf>
    <xf numFmtId="165" fontId="3" fillId="56" borderId="0" xfId="179" applyFont="1" applyFill="1" applyBorder="1" applyAlignment="1" applyProtection="1">
      <alignment horizontal="right"/>
      <protection/>
    </xf>
    <xf numFmtId="165" fontId="3" fillId="56" borderId="0" xfId="179" applyFont="1" applyFill="1" applyBorder="1" applyAlignment="1" applyProtection="1">
      <alignment horizontal="center"/>
      <protection/>
    </xf>
    <xf numFmtId="165" fontId="4" fillId="56" borderId="0" xfId="179" applyFill="1" applyBorder="1" applyAlignment="1" applyProtection="1">
      <alignment vertical="top"/>
      <protection/>
    </xf>
    <xf numFmtId="41" fontId="3" fillId="56" borderId="0" xfId="179" applyNumberFormat="1" applyFont="1" applyFill="1" applyBorder="1" applyAlignment="1" applyProtection="1">
      <alignment vertical="top"/>
      <protection locked="0"/>
    </xf>
    <xf numFmtId="14" fontId="3" fillId="56" borderId="0" xfId="179" applyNumberFormat="1" applyFont="1" applyFill="1" applyBorder="1" applyAlignment="1" applyProtection="1">
      <alignment/>
      <protection/>
    </xf>
    <xf numFmtId="165" fontId="3" fillId="56" borderId="30" xfId="179" applyFont="1" applyFill="1" applyBorder="1" applyAlignment="1" applyProtection="1">
      <alignment horizontal="left"/>
      <protection/>
    </xf>
    <xf numFmtId="14" fontId="3" fillId="56" borderId="37" xfId="179" applyNumberFormat="1" applyFont="1" applyFill="1" applyBorder="1" applyAlignment="1" applyProtection="1">
      <alignment/>
      <protection/>
    </xf>
    <xf numFmtId="14" fontId="3" fillId="56" borderId="31" xfId="179" applyNumberFormat="1" applyFont="1" applyFill="1" applyBorder="1" applyAlignment="1" applyProtection="1">
      <alignment horizontal="right"/>
      <protection/>
    </xf>
    <xf numFmtId="14" fontId="3" fillId="56" borderId="31" xfId="179" applyNumberFormat="1" applyFont="1" applyFill="1" applyBorder="1" applyAlignment="1" applyProtection="1">
      <alignment/>
      <protection/>
    </xf>
    <xf numFmtId="165" fontId="3" fillId="56" borderId="38" xfId="179" applyFont="1" applyFill="1" applyBorder="1" applyAlignment="1" applyProtection="1">
      <alignment vertical="top"/>
      <protection/>
    </xf>
    <xf numFmtId="41" fontId="3" fillId="56" borderId="29" xfId="179" applyNumberFormat="1" applyFont="1" applyFill="1" applyBorder="1" applyAlignment="1" applyProtection="1">
      <alignment vertical="top"/>
      <protection locked="0"/>
    </xf>
    <xf numFmtId="41" fontId="3" fillId="56" borderId="39" xfId="179" applyNumberFormat="1" applyFont="1" applyFill="1" applyBorder="1" applyAlignment="1" applyProtection="1">
      <alignment vertical="top"/>
      <protection locked="0"/>
    </xf>
    <xf numFmtId="166" fontId="6" fillId="55" borderId="40" xfId="180" applyFont="1" applyFill="1" applyBorder="1" applyProtection="1">
      <alignment/>
      <protection/>
    </xf>
    <xf numFmtId="164" fontId="6" fillId="55" borderId="40" xfId="96" applyNumberFormat="1" applyFont="1" applyFill="1" applyBorder="1" applyAlignment="1" applyProtection="1">
      <alignment/>
      <protection/>
    </xf>
    <xf numFmtId="0" fontId="0" fillId="52" borderId="41" xfId="0" applyFill="1" applyBorder="1" applyAlignment="1" applyProtection="1">
      <alignment/>
      <protection/>
    </xf>
    <xf numFmtId="166" fontId="6" fillId="56" borderId="42" xfId="180" applyFont="1" applyFill="1" applyBorder="1" applyAlignment="1" applyProtection="1">
      <alignment horizontal="left"/>
      <protection/>
    </xf>
    <xf numFmtId="37" fontId="11" fillId="56" borderId="43" xfId="96" applyNumberFormat="1" applyFont="1" applyFill="1" applyBorder="1" applyAlignment="1" applyProtection="1">
      <alignment/>
      <protection locked="0"/>
    </xf>
    <xf numFmtId="37" fontId="11" fillId="56" borderId="44" xfId="180" applyNumberFormat="1" applyFont="1" applyFill="1" applyBorder="1" applyProtection="1">
      <alignment/>
      <protection locked="0"/>
    </xf>
    <xf numFmtId="37" fontId="11" fillId="56" borderId="45" xfId="180" applyNumberFormat="1" applyFont="1" applyFill="1" applyBorder="1" applyAlignment="1" applyProtection="1">
      <alignment/>
      <protection locked="0"/>
    </xf>
    <xf numFmtId="166" fontId="6" fillId="54" borderId="28" xfId="180" applyFont="1" applyFill="1" applyBorder="1" applyAlignment="1" applyProtection="1">
      <alignment horizontal="left"/>
      <protection/>
    </xf>
    <xf numFmtId="37" fontId="11" fillId="56" borderId="42" xfId="180" applyNumberFormat="1" applyFont="1" applyFill="1" applyBorder="1" applyAlignment="1" applyProtection="1">
      <alignment/>
      <protection locked="0"/>
    </xf>
    <xf numFmtId="37" fontId="6" fillId="54" borderId="22" xfId="180" applyNumberFormat="1" applyFont="1" applyFill="1" applyBorder="1" applyProtection="1">
      <alignment/>
      <protection/>
    </xf>
    <xf numFmtId="37" fontId="11" fillId="56" borderId="46" xfId="180" applyNumberFormat="1" applyFont="1" applyFill="1" applyBorder="1" applyAlignment="1" applyProtection="1">
      <alignment/>
      <protection locked="0"/>
    </xf>
    <xf numFmtId="166" fontId="5" fillId="54" borderId="22" xfId="180" applyFont="1" applyFill="1" applyBorder="1" applyAlignment="1" applyProtection="1">
      <alignment horizontal="left"/>
      <protection/>
    </xf>
    <xf numFmtId="166" fontId="24" fillId="56" borderId="0" xfId="180" applyFont="1" applyFill="1" applyAlignment="1" applyProtection="1">
      <alignment horizontal="right"/>
      <protection/>
    </xf>
    <xf numFmtId="166" fontId="8" fillId="56" borderId="38" xfId="180" applyFont="1" applyFill="1" applyBorder="1" applyProtection="1">
      <alignment/>
      <protection/>
    </xf>
    <xf numFmtId="166" fontId="10" fillId="56" borderId="29" xfId="180" applyFont="1" applyFill="1" applyBorder="1" applyProtection="1">
      <alignment/>
      <protection/>
    </xf>
    <xf numFmtId="164" fontId="10" fillId="56" borderId="29" xfId="96" applyNumberFormat="1" applyFont="1" applyFill="1" applyBorder="1" applyAlignment="1" applyProtection="1">
      <alignment/>
      <protection/>
    </xf>
    <xf numFmtId="166" fontId="10" fillId="56" borderId="39" xfId="180" applyFont="1" applyFill="1" applyBorder="1" applyProtection="1">
      <alignment/>
      <protection/>
    </xf>
    <xf numFmtId="166" fontId="5" fillId="52" borderId="30" xfId="180" applyFont="1" applyFill="1" applyBorder="1" applyAlignment="1" applyProtection="1">
      <alignment horizontal="center"/>
      <protection/>
    </xf>
    <xf numFmtId="166" fontId="5" fillId="52" borderId="31" xfId="180" applyFont="1" applyFill="1" applyBorder="1" applyAlignment="1" applyProtection="1">
      <alignment horizontal="center"/>
      <protection/>
    </xf>
    <xf numFmtId="166" fontId="5" fillId="52" borderId="36" xfId="180" applyFont="1" applyFill="1" applyBorder="1" applyAlignment="1" applyProtection="1">
      <alignment horizontal="center"/>
      <protection/>
    </xf>
    <xf numFmtId="166" fontId="6" fillId="52" borderId="38" xfId="180" applyFont="1" applyFill="1" applyBorder="1" applyProtection="1">
      <alignment/>
      <protection/>
    </xf>
    <xf numFmtId="166" fontId="6" fillId="52" borderId="29" xfId="180" applyFont="1" applyFill="1" applyBorder="1" applyProtection="1">
      <alignment/>
      <protection/>
    </xf>
    <xf numFmtId="166" fontId="6" fillId="52" borderId="39" xfId="180" applyFont="1" applyFill="1" applyBorder="1" applyProtection="1">
      <alignment/>
      <protection/>
    </xf>
    <xf numFmtId="165" fontId="3" fillId="56" borderId="32" xfId="179" applyFont="1" applyFill="1" applyBorder="1" applyAlignment="1" applyProtection="1">
      <alignment horizontal="left"/>
      <protection/>
    </xf>
    <xf numFmtId="165" fontId="3" fillId="56" borderId="32" xfId="179" applyFont="1" applyFill="1" applyBorder="1" applyAlignment="1" applyProtection="1">
      <alignment vertical="top"/>
      <protection/>
    </xf>
    <xf numFmtId="166" fontId="4" fillId="56" borderId="0" xfId="180" applyFill="1" applyAlignment="1" applyProtection="1">
      <alignment horizontal="right"/>
      <protection/>
    </xf>
    <xf numFmtId="166" fontId="3" fillId="56" borderId="0" xfId="180" applyFont="1" applyFill="1" applyProtection="1">
      <alignment/>
      <protection/>
    </xf>
    <xf numFmtId="166" fontId="5" fillId="54" borderId="28" xfId="180" applyFont="1" applyFill="1" applyBorder="1" applyAlignment="1" applyProtection="1">
      <alignment horizontal="left"/>
      <protection/>
    </xf>
    <xf numFmtId="37" fontId="5" fillId="54" borderId="47" xfId="180" applyNumberFormat="1" applyFont="1" applyFill="1" applyBorder="1" applyProtection="1">
      <alignment/>
      <protection/>
    </xf>
    <xf numFmtId="37" fontId="5" fillId="54" borderId="20" xfId="180" applyNumberFormat="1" applyFont="1" applyFill="1" applyBorder="1" applyProtection="1">
      <alignment/>
      <protection/>
    </xf>
    <xf numFmtId="166" fontId="5" fillId="54" borderId="48" xfId="180" applyFont="1" applyFill="1" applyBorder="1" applyAlignment="1" applyProtection="1" quotePrefix="1">
      <alignment horizontal="left"/>
      <protection/>
    </xf>
    <xf numFmtId="37" fontId="6" fillId="54" borderId="48" xfId="180" applyNumberFormat="1" applyFont="1" applyFill="1" applyBorder="1" applyProtection="1">
      <alignment/>
      <protection/>
    </xf>
    <xf numFmtId="166" fontId="6" fillId="55" borderId="28" xfId="180" applyFont="1" applyFill="1" applyBorder="1" applyProtection="1">
      <alignment/>
      <protection/>
    </xf>
    <xf numFmtId="164" fontId="6" fillId="55" borderId="28" xfId="96" applyNumberFormat="1" applyFont="1" applyFill="1" applyBorder="1" applyAlignment="1" applyProtection="1">
      <alignment/>
      <protection/>
    </xf>
    <xf numFmtId="166" fontId="6" fillId="56" borderId="0" xfId="180" applyFont="1" applyFill="1" applyBorder="1" applyAlignment="1" applyProtection="1">
      <alignment horizontal="right"/>
      <protection/>
    </xf>
    <xf numFmtId="37" fontId="11" fillId="56" borderId="0" xfId="180" applyNumberFormat="1" applyFont="1" applyFill="1" applyBorder="1" applyProtection="1">
      <alignment/>
      <protection locked="0"/>
    </xf>
    <xf numFmtId="37" fontId="6" fillId="56" borderId="0" xfId="180" applyNumberFormat="1" applyFont="1" applyFill="1" applyBorder="1" applyProtection="1">
      <alignment/>
      <protection/>
    </xf>
    <xf numFmtId="166" fontId="6" fillId="56" borderId="0" xfId="180" applyFont="1" applyFill="1" applyBorder="1" applyAlignment="1" applyProtection="1">
      <alignment horizontal="left"/>
      <protection/>
    </xf>
    <xf numFmtId="37" fontId="11" fillId="56" borderId="26" xfId="180" applyNumberFormat="1" applyFont="1" applyFill="1" applyBorder="1" applyProtection="1">
      <alignment/>
      <protection locked="0"/>
    </xf>
    <xf numFmtId="37" fontId="11" fillId="56" borderId="0" xfId="96" applyNumberFormat="1" applyFont="1" applyFill="1" applyBorder="1" applyAlignment="1" applyProtection="1">
      <alignment/>
      <protection locked="0"/>
    </xf>
    <xf numFmtId="166" fontId="6" fillId="0" borderId="0" xfId="180" applyFont="1" applyFill="1" applyBorder="1" applyProtection="1">
      <alignment/>
      <protection/>
    </xf>
    <xf numFmtId="164" fontId="6" fillId="0" borderId="0" xfId="96" applyNumberFormat="1" applyFont="1" applyFill="1" applyBorder="1" applyAlignment="1" applyProtection="1">
      <alignment/>
      <protection/>
    </xf>
    <xf numFmtId="166" fontId="4" fillId="0" borderId="0" xfId="180" applyFill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 quotePrefix="1">
      <alignment horizontal="center"/>
      <protection/>
    </xf>
    <xf numFmtId="41" fontId="3" fillId="56" borderId="0" xfId="179" applyNumberFormat="1" applyFont="1" applyFill="1" applyBorder="1" applyAlignment="1" applyProtection="1">
      <alignment horizontal="left" vertical="top"/>
      <protection locked="0"/>
    </xf>
    <xf numFmtId="0" fontId="0" fillId="56" borderId="0" xfId="0" applyFill="1" applyBorder="1" applyAlignment="1" applyProtection="1">
      <alignment/>
      <protection/>
    </xf>
    <xf numFmtId="14" fontId="3" fillId="56" borderId="0" xfId="179" applyNumberFormat="1" applyFont="1" applyFill="1" applyBorder="1" applyAlignment="1" applyProtection="1">
      <alignment horizontal="center"/>
      <protection/>
    </xf>
    <xf numFmtId="165" fontId="18" fillId="56" borderId="31" xfId="179" applyFont="1" applyFill="1" applyBorder="1" applyAlignment="1" applyProtection="1">
      <alignment horizontal="center"/>
      <protection/>
    </xf>
    <xf numFmtId="0" fontId="1" fillId="56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5" fontId="4" fillId="56" borderId="0" xfId="179" applyFill="1" applyAlignment="1" applyProtection="1">
      <alignment horizontal="right"/>
      <protection/>
    </xf>
    <xf numFmtId="165" fontId="3" fillId="56" borderId="30" xfId="179" applyFont="1" applyFill="1" applyBorder="1" applyAlignment="1" applyProtection="1">
      <alignment horizontal="right"/>
      <protection/>
    </xf>
    <xf numFmtId="165" fontId="3" fillId="56" borderId="32" xfId="179" applyFont="1" applyFill="1" applyBorder="1" applyAlignment="1" applyProtection="1">
      <alignment horizontal="right"/>
      <protection/>
    </xf>
    <xf numFmtId="165" fontId="3" fillId="56" borderId="38" xfId="179" applyFont="1" applyFill="1" applyBorder="1" applyAlignment="1" applyProtection="1">
      <alignment horizontal="right" vertical="top"/>
      <protection/>
    </xf>
    <xf numFmtId="0" fontId="0" fillId="56" borderId="0" xfId="0" applyFill="1" applyAlignment="1" applyProtection="1">
      <alignment horizontal="right"/>
      <protection/>
    </xf>
    <xf numFmtId="0" fontId="0" fillId="56" borderId="0" xfId="0" applyFill="1" applyBorder="1" applyAlignment="1" applyProtection="1">
      <alignment horizontal="right"/>
      <protection/>
    </xf>
    <xf numFmtId="165" fontId="14" fillId="56" borderId="0" xfId="179" applyFont="1" applyFill="1" applyBorder="1" applyAlignment="1" applyProtection="1">
      <alignment horizontal="left"/>
      <protection/>
    </xf>
    <xf numFmtId="165" fontId="3" fillId="56" borderId="0" xfId="179" applyFont="1" applyFill="1" applyBorder="1" applyProtection="1">
      <alignment/>
      <protection/>
    </xf>
    <xf numFmtId="165" fontId="3" fillId="56" borderId="0" xfId="179" applyFont="1" applyFill="1" applyBorder="1" applyAlignment="1" applyProtection="1">
      <alignment wrapText="1"/>
      <protection/>
    </xf>
    <xf numFmtId="165" fontId="23" fillId="56" borderId="0" xfId="179" applyFont="1" applyFill="1" applyBorder="1" applyAlignment="1" applyProtection="1">
      <alignment wrapText="1"/>
      <protection/>
    </xf>
    <xf numFmtId="165" fontId="4" fillId="56" borderId="0" xfId="179" applyFont="1" applyFill="1" applyBorder="1" applyAlignment="1" applyProtection="1">
      <alignment vertical="top" wrapText="1"/>
      <protection/>
    </xf>
    <xf numFmtId="165" fontId="3" fillId="56" borderId="0" xfId="179" applyFont="1" applyFill="1" applyBorder="1" applyAlignment="1" applyProtection="1">
      <alignment horizontal="left" wrapText="1"/>
      <protection/>
    </xf>
    <xf numFmtId="165" fontId="3" fillId="56" borderId="0" xfId="179" applyFont="1" applyFill="1" applyBorder="1" applyAlignment="1" applyProtection="1" quotePrefix="1">
      <alignment wrapText="1"/>
      <protection/>
    </xf>
    <xf numFmtId="165" fontId="3" fillId="56" borderId="0" xfId="179" applyFont="1" applyFill="1" applyBorder="1" applyAlignment="1" applyProtection="1" quotePrefix="1">
      <alignment horizontal="right" wrapText="1"/>
      <protection/>
    </xf>
    <xf numFmtId="165" fontId="3" fillId="0" borderId="0" xfId="179" applyFont="1" applyFill="1" applyBorder="1" applyProtection="1">
      <alignment/>
      <protection/>
    </xf>
    <xf numFmtId="165" fontId="3" fillId="0" borderId="0" xfId="179" applyFont="1" applyFill="1" applyProtection="1">
      <alignment/>
      <protection/>
    </xf>
    <xf numFmtId="165" fontId="4" fillId="0" borderId="0" xfId="179" applyFill="1" applyBorder="1" applyProtection="1">
      <alignment/>
      <protection/>
    </xf>
    <xf numFmtId="165" fontId="4" fillId="0" borderId="0" xfId="179" applyFill="1" applyProtection="1">
      <alignment/>
      <protection/>
    </xf>
    <xf numFmtId="0" fontId="1" fillId="52" borderId="49" xfId="0" applyFont="1" applyFill="1" applyBorder="1" applyAlignment="1" applyProtection="1">
      <alignment horizontal="center"/>
      <protection/>
    </xf>
    <xf numFmtId="0" fontId="1" fillId="52" borderId="42" xfId="0" applyFont="1" applyFill="1" applyBorder="1" applyAlignment="1" applyProtection="1">
      <alignment horizontal="center"/>
      <protection/>
    </xf>
    <xf numFmtId="0" fontId="1" fillId="52" borderId="41" xfId="0" applyFont="1" applyFill="1" applyBorder="1" applyAlignment="1" applyProtection="1">
      <alignment horizontal="center" wrapText="1"/>
      <protection/>
    </xf>
    <xf numFmtId="0" fontId="1" fillId="52" borderId="41" xfId="0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165" fontId="3" fillId="56" borderId="52" xfId="179" applyFont="1" applyFill="1" applyBorder="1" applyAlignment="1" applyProtection="1">
      <alignment horizontal="center"/>
      <protection/>
    </xf>
    <xf numFmtId="165" fontId="3" fillId="56" borderId="44" xfId="179" applyFont="1" applyFill="1" applyBorder="1" applyAlignment="1" applyProtection="1">
      <alignment wrapText="1"/>
      <protection/>
    </xf>
    <xf numFmtId="165" fontId="3" fillId="56" borderId="32" xfId="179" applyFont="1" applyFill="1" applyBorder="1" applyAlignment="1" applyProtection="1">
      <alignment wrapText="1"/>
      <protection/>
    </xf>
    <xf numFmtId="165" fontId="23" fillId="56" borderId="32" xfId="179" applyFont="1" applyFill="1" applyBorder="1" applyAlignment="1" applyProtection="1">
      <alignment wrapText="1"/>
      <protection/>
    </xf>
    <xf numFmtId="165" fontId="4" fillId="56" borderId="32" xfId="179" applyFont="1" applyFill="1" applyBorder="1" applyAlignment="1" applyProtection="1">
      <alignment vertical="top"/>
      <protection locked="0"/>
    </xf>
    <xf numFmtId="165" fontId="4" fillId="56" borderId="32" xfId="179" applyFont="1" applyFill="1" applyBorder="1" applyAlignment="1" applyProtection="1">
      <alignment vertical="top" wrapText="1"/>
      <protection/>
    </xf>
    <xf numFmtId="165" fontId="4" fillId="56" borderId="38" xfId="179" applyFill="1" applyBorder="1" applyProtection="1">
      <alignment/>
      <protection/>
    </xf>
    <xf numFmtId="165" fontId="4" fillId="56" borderId="29" xfId="179" applyFill="1" applyBorder="1" applyProtection="1">
      <alignment/>
      <protection/>
    </xf>
    <xf numFmtId="165" fontId="4" fillId="56" borderId="39" xfId="179" applyFill="1" applyBorder="1" applyProtection="1">
      <alignment/>
      <protection/>
    </xf>
    <xf numFmtId="165" fontId="3" fillId="56" borderId="53" xfId="179" applyFont="1" applyFill="1" applyBorder="1" applyAlignment="1" applyProtection="1">
      <alignment horizontal="center"/>
      <protection/>
    </xf>
    <xf numFmtId="165" fontId="3" fillId="56" borderId="29" xfId="179" applyFont="1" applyFill="1" applyBorder="1" applyAlignment="1" applyProtection="1">
      <alignment wrapText="1"/>
      <protection/>
    </xf>
    <xf numFmtId="165" fontId="3" fillId="56" borderId="54" xfId="179" applyFont="1" applyFill="1" applyBorder="1" applyAlignment="1" applyProtection="1">
      <alignment wrapText="1"/>
      <protection/>
    </xf>
    <xf numFmtId="165" fontId="4" fillId="56" borderId="32" xfId="179" applyFont="1" applyFill="1" applyBorder="1" applyAlignment="1" applyProtection="1">
      <alignment horizontal="center" wrapText="1"/>
      <protection/>
    </xf>
    <xf numFmtId="165" fontId="3" fillId="56" borderId="0" xfId="179" applyFont="1" applyFill="1" applyBorder="1" applyAlignment="1" applyProtection="1" quotePrefix="1">
      <alignment vertical="top" wrapText="1"/>
      <protection/>
    </xf>
    <xf numFmtId="166" fontId="3" fillId="56" borderId="28" xfId="180" applyFont="1" applyFill="1" applyBorder="1" applyAlignment="1" applyProtection="1">
      <alignment horizontal="center"/>
      <protection/>
    </xf>
    <xf numFmtId="166" fontId="6" fillId="57" borderId="40" xfId="180" applyFont="1" applyFill="1" applyBorder="1" applyProtection="1">
      <alignment/>
      <protection/>
    </xf>
    <xf numFmtId="164" fontId="6" fillId="57" borderId="40" xfId="96" applyNumberFormat="1" applyFont="1" applyFill="1" applyBorder="1" applyAlignment="1" applyProtection="1">
      <alignment/>
      <protection/>
    </xf>
    <xf numFmtId="166" fontId="6" fillId="57" borderId="22" xfId="180" applyFont="1" applyFill="1" applyBorder="1" applyProtection="1">
      <alignment/>
      <protection/>
    </xf>
    <xf numFmtId="165" fontId="3" fillId="56" borderId="32" xfId="179" applyFont="1" applyFill="1" applyBorder="1" applyAlignment="1" applyProtection="1">
      <alignment horizontal="center"/>
      <protection/>
    </xf>
    <xf numFmtId="165" fontId="3" fillId="56" borderId="35" xfId="179" applyFont="1" applyFill="1" applyBorder="1" applyAlignment="1" applyProtection="1">
      <alignment horizontal="center"/>
      <protection/>
    </xf>
    <xf numFmtId="165" fontId="3" fillId="56" borderId="29" xfId="179" applyFont="1" applyFill="1" applyBorder="1" applyAlignment="1" applyProtection="1" quotePrefix="1">
      <alignment horizontal="right" wrapText="1"/>
      <protection/>
    </xf>
    <xf numFmtId="165" fontId="3" fillId="56" borderId="29" xfId="179" applyFont="1" applyFill="1" applyBorder="1" applyAlignment="1" applyProtection="1">
      <alignment horizontal="left" wrapText="1"/>
      <protection/>
    </xf>
    <xf numFmtId="165" fontId="16" fillId="56" borderId="0" xfId="179" applyFont="1" applyFill="1" applyBorder="1" applyAlignment="1" applyProtection="1">
      <alignment horizontal="right"/>
      <protection/>
    </xf>
    <xf numFmtId="165" fontId="16" fillId="56" borderId="0" xfId="179" applyFont="1" applyFill="1" applyBorder="1" applyAlignment="1" applyProtection="1">
      <alignment/>
      <protection/>
    </xf>
    <xf numFmtId="165" fontId="4" fillId="56" borderId="30" xfId="179" applyFill="1" applyBorder="1" applyProtection="1">
      <alignment/>
      <protection/>
    </xf>
    <xf numFmtId="165" fontId="4" fillId="56" borderId="29" xfId="179" applyFill="1" applyBorder="1" applyAlignment="1" applyProtection="1">
      <alignment vertical="top"/>
      <protection/>
    </xf>
    <xf numFmtId="0" fontId="0" fillId="56" borderId="30" xfId="0" applyFill="1" applyBorder="1" applyAlignment="1" applyProtection="1">
      <alignment horizontal="right"/>
      <protection/>
    </xf>
    <xf numFmtId="0" fontId="0" fillId="56" borderId="31" xfId="0" applyFill="1" applyBorder="1" applyAlignment="1" applyProtection="1">
      <alignment/>
      <protection/>
    </xf>
    <xf numFmtId="0" fontId="0" fillId="56" borderId="36" xfId="0" applyFill="1" applyBorder="1" applyAlignment="1" applyProtection="1">
      <alignment/>
      <protection/>
    </xf>
    <xf numFmtId="0" fontId="1" fillId="52" borderId="55" xfId="0" applyFont="1" applyFill="1" applyBorder="1" applyAlignment="1" applyProtection="1">
      <alignment horizontal="center"/>
      <protection/>
    </xf>
    <xf numFmtId="0" fontId="1" fillId="52" borderId="56" xfId="0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52" borderId="58" xfId="0" applyFont="1" applyFill="1" applyBorder="1" applyAlignment="1" applyProtection="1">
      <alignment horizontal="right" wrapText="1"/>
      <protection/>
    </xf>
    <xf numFmtId="0" fontId="1" fillId="52" borderId="59" xfId="0" applyFont="1" applyFill="1" applyBorder="1" applyAlignment="1" applyProtection="1">
      <alignment horizontal="right" wrapText="1"/>
      <protection/>
    </xf>
    <xf numFmtId="0" fontId="0" fillId="56" borderId="38" xfId="0" applyFill="1" applyBorder="1" applyAlignment="1" applyProtection="1">
      <alignment horizontal="right"/>
      <protection/>
    </xf>
    <xf numFmtId="0" fontId="0" fillId="56" borderId="29" xfId="0" applyFill="1" applyBorder="1" applyAlignment="1" applyProtection="1">
      <alignment/>
      <protection/>
    </xf>
    <xf numFmtId="0" fontId="0" fillId="56" borderId="39" xfId="0" applyFill="1" applyBorder="1" applyAlignment="1" applyProtection="1">
      <alignment/>
      <protection/>
    </xf>
    <xf numFmtId="166" fontId="5" fillId="52" borderId="35" xfId="180" applyFont="1" applyFill="1" applyBorder="1" applyAlignment="1" applyProtection="1">
      <alignment horizontal="center"/>
      <protection/>
    </xf>
    <xf numFmtId="166" fontId="3" fillId="52" borderId="60" xfId="180" applyFont="1" applyFill="1" applyBorder="1" applyAlignment="1" applyProtection="1">
      <alignment horizontal="right"/>
      <protection/>
    </xf>
    <xf numFmtId="166" fontId="3" fillId="52" borderId="61" xfId="180" applyFont="1" applyFill="1" applyBorder="1" applyAlignment="1" applyProtection="1">
      <alignment horizontal="right"/>
      <protection/>
    </xf>
    <xf numFmtId="166" fontId="6" fillId="55" borderId="62" xfId="180" applyFont="1" applyFill="1" applyBorder="1" applyProtection="1">
      <alignment/>
      <protection/>
    </xf>
    <xf numFmtId="0" fontId="0" fillId="52" borderId="58" xfId="0" applyFont="1" applyFill="1" applyBorder="1" applyAlignment="1" applyProtection="1" quotePrefix="1">
      <alignment horizontal="right"/>
      <protection/>
    </xf>
    <xf numFmtId="166" fontId="6" fillId="55" borderId="63" xfId="180" applyFont="1" applyFill="1" applyBorder="1" applyProtection="1">
      <alignment/>
      <protection/>
    </xf>
    <xf numFmtId="166" fontId="6" fillId="56" borderId="64" xfId="180" applyFont="1" applyFill="1" applyBorder="1" applyAlignment="1" applyProtection="1">
      <alignment horizontal="right"/>
      <protection/>
    </xf>
    <xf numFmtId="37" fontId="6" fillId="56" borderId="63" xfId="96" applyNumberFormat="1" applyFont="1" applyFill="1" applyBorder="1" applyAlignment="1" applyProtection="1">
      <alignment/>
      <protection/>
    </xf>
    <xf numFmtId="166" fontId="6" fillId="56" borderId="65" xfId="180" applyFont="1" applyFill="1" applyBorder="1" applyAlignment="1" applyProtection="1">
      <alignment horizontal="right"/>
      <protection/>
    </xf>
    <xf numFmtId="37" fontId="6" fillId="56" borderId="35" xfId="96" applyNumberFormat="1" applyFont="1" applyFill="1" applyBorder="1" applyAlignment="1" applyProtection="1">
      <alignment/>
      <protection/>
    </xf>
    <xf numFmtId="37" fontId="6" fillId="56" borderId="66" xfId="96" applyNumberFormat="1" applyFont="1" applyFill="1" applyBorder="1" applyAlignment="1" applyProtection="1">
      <alignment/>
      <protection/>
    </xf>
    <xf numFmtId="167" fontId="6" fillId="56" borderId="65" xfId="180" applyNumberFormat="1" applyFont="1" applyFill="1" applyBorder="1" applyAlignment="1" applyProtection="1">
      <alignment horizontal="right"/>
      <protection/>
    </xf>
    <xf numFmtId="166" fontId="5" fillId="54" borderId="67" xfId="180" applyFont="1" applyFill="1" applyBorder="1" applyAlignment="1" applyProtection="1">
      <alignment horizontal="right"/>
      <protection/>
    </xf>
    <xf numFmtId="37" fontId="5" fillId="54" borderId="68" xfId="180" applyNumberFormat="1" applyFont="1" applyFill="1" applyBorder="1" applyProtection="1">
      <alignment/>
      <protection/>
    </xf>
    <xf numFmtId="0" fontId="1" fillId="52" borderId="61" xfId="0" applyFont="1" applyFill="1" applyBorder="1" applyAlignment="1" applyProtection="1" quotePrefix="1">
      <alignment horizontal="right"/>
      <protection/>
    </xf>
    <xf numFmtId="37" fontId="6" fillId="56" borderId="66" xfId="180" applyNumberFormat="1" applyFont="1" applyFill="1" applyBorder="1" applyProtection="1">
      <alignment/>
      <protection/>
    </xf>
    <xf numFmtId="166" fontId="5" fillId="54" borderId="69" xfId="180" applyFont="1" applyFill="1" applyBorder="1" applyAlignment="1" applyProtection="1">
      <alignment horizontal="right"/>
      <protection/>
    </xf>
    <xf numFmtId="37" fontId="5" fillId="54" borderId="70" xfId="180" applyNumberFormat="1" applyFont="1" applyFill="1" applyBorder="1" applyProtection="1">
      <alignment/>
      <protection/>
    </xf>
    <xf numFmtId="166" fontId="6" fillId="54" borderId="61" xfId="180" applyFont="1" applyFill="1" applyBorder="1" applyAlignment="1" applyProtection="1">
      <alignment horizontal="right"/>
      <protection/>
    </xf>
    <xf numFmtId="37" fontId="6" fillId="54" borderId="62" xfId="180" applyNumberFormat="1" applyFont="1" applyFill="1" applyBorder="1" applyProtection="1">
      <alignment/>
      <protection/>
    </xf>
    <xf numFmtId="166" fontId="5" fillId="54" borderId="71" xfId="180" applyFont="1" applyFill="1" applyBorder="1" applyAlignment="1" applyProtection="1" quotePrefix="1">
      <alignment horizontal="right"/>
      <protection/>
    </xf>
    <xf numFmtId="166" fontId="6" fillId="54" borderId="72" xfId="180" applyFont="1" applyFill="1" applyBorder="1" applyAlignment="1" applyProtection="1">
      <alignment horizontal="left"/>
      <protection/>
    </xf>
    <xf numFmtId="166" fontId="5" fillId="54" borderId="29" xfId="180" applyFont="1" applyFill="1" applyBorder="1" applyAlignment="1" applyProtection="1" quotePrefix="1">
      <alignment horizontal="left"/>
      <protection/>
    </xf>
    <xf numFmtId="37" fontId="6" fillId="54" borderId="29" xfId="180" applyNumberFormat="1" applyFont="1" applyFill="1" applyBorder="1" applyProtection="1">
      <alignment/>
      <protection/>
    </xf>
    <xf numFmtId="166" fontId="4" fillId="56" borderId="39" xfId="180" applyFill="1" applyBorder="1" applyProtection="1">
      <alignment/>
      <protection/>
    </xf>
    <xf numFmtId="37" fontId="6" fillId="54" borderId="39" xfId="180" applyNumberFormat="1" applyFont="1" applyFill="1" applyBorder="1" applyProtection="1">
      <alignment/>
      <protection/>
    </xf>
    <xf numFmtId="165" fontId="4" fillId="56" borderId="32" xfId="179" applyFill="1" applyBorder="1" applyAlignment="1" applyProtection="1">
      <alignment horizontal="right"/>
      <protection/>
    </xf>
    <xf numFmtId="166" fontId="8" fillId="56" borderId="38" xfId="180" applyFont="1" applyFill="1" applyBorder="1" applyAlignment="1" applyProtection="1">
      <alignment horizontal="right"/>
      <protection/>
    </xf>
    <xf numFmtId="166" fontId="5" fillId="52" borderId="30" xfId="180" applyFont="1" applyFill="1" applyBorder="1" applyAlignment="1" applyProtection="1">
      <alignment horizontal="right"/>
      <protection/>
    </xf>
    <xf numFmtId="166" fontId="6" fillId="52" borderId="38" xfId="180" applyFont="1" applyFill="1" applyBorder="1" applyAlignment="1" applyProtection="1">
      <alignment horizontal="right"/>
      <protection/>
    </xf>
    <xf numFmtId="166" fontId="5" fillId="54" borderId="71" xfId="180" applyFont="1" applyFill="1" applyBorder="1" applyAlignment="1" applyProtection="1">
      <alignment horizontal="right"/>
      <protection/>
    </xf>
    <xf numFmtId="166" fontId="6" fillId="54" borderId="72" xfId="180" applyFont="1" applyFill="1" applyBorder="1" applyAlignment="1" applyProtection="1">
      <alignment horizontal="right"/>
      <protection/>
    </xf>
    <xf numFmtId="0" fontId="1" fillId="52" borderId="58" xfId="0" applyFont="1" applyFill="1" applyBorder="1" applyAlignment="1" applyProtection="1" quotePrefix="1">
      <alignment horizontal="right"/>
      <protection/>
    </xf>
    <xf numFmtId="0" fontId="1" fillId="52" borderId="61" xfId="0" applyFont="1" applyFill="1" applyBorder="1" applyAlignment="1" applyProtection="1">
      <alignment horizontal="right"/>
      <protection/>
    </xf>
    <xf numFmtId="37" fontId="6" fillId="54" borderId="73" xfId="180" applyNumberFormat="1" applyFont="1" applyFill="1" applyBorder="1" applyProtection="1">
      <alignment/>
      <protection/>
    </xf>
    <xf numFmtId="166" fontId="3" fillId="52" borderId="74" xfId="180" applyFont="1" applyFill="1" applyBorder="1" applyAlignment="1" applyProtection="1">
      <alignment horizontal="center"/>
      <protection/>
    </xf>
    <xf numFmtId="166" fontId="4" fillId="56" borderId="38" xfId="180" applyFill="1" applyBorder="1" applyAlignment="1" applyProtection="1">
      <alignment horizontal="right"/>
      <protection/>
    </xf>
    <xf numFmtId="166" fontId="4" fillId="56" borderId="29" xfId="180" applyFill="1" applyBorder="1" applyProtection="1">
      <alignment/>
      <protection/>
    </xf>
    <xf numFmtId="164" fontId="4" fillId="56" borderId="29" xfId="96" applyNumberFormat="1" applyFont="1" applyFill="1" applyBorder="1" applyAlignment="1" applyProtection="1">
      <alignment/>
      <protection/>
    </xf>
    <xf numFmtId="0" fontId="1" fillId="52" borderId="57" xfId="0" applyFont="1" applyFill="1" applyBorder="1" applyAlignment="1" applyProtection="1">
      <alignment horizontal="center" wrapText="1"/>
      <protection/>
    </xf>
    <xf numFmtId="0" fontId="0" fillId="0" borderId="65" xfId="0" applyFont="1" applyBorder="1" applyAlignment="1" applyProtection="1" quotePrefix="1">
      <alignment horizontal="right"/>
      <protection/>
    </xf>
    <xf numFmtId="0" fontId="0" fillId="0" borderId="32" xfId="0" applyFont="1" applyBorder="1" applyAlignment="1" applyProtection="1" quotePrefix="1">
      <alignment horizontal="right"/>
      <protection/>
    </xf>
    <xf numFmtId="166" fontId="6" fillId="55" borderId="34" xfId="180" applyFont="1" applyFill="1" applyBorder="1" applyProtection="1">
      <alignment/>
      <protection/>
    </xf>
    <xf numFmtId="166" fontId="3" fillId="56" borderId="60" xfId="180" applyFont="1" applyFill="1" applyBorder="1" applyAlignment="1" applyProtection="1">
      <alignment horizontal="right"/>
      <protection/>
    </xf>
    <xf numFmtId="166" fontId="6" fillId="57" borderId="63" xfId="180" applyFont="1" applyFill="1" applyBorder="1" applyProtection="1">
      <alignment/>
      <protection/>
    </xf>
    <xf numFmtId="166" fontId="3" fillId="52" borderId="74" xfId="180" applyFont="1" applyFill="1" applyBorder="1" applyAlignment="1" applyProtection="1">
      <alignment horizontal="right"/>
      <protection/>
    </xf>
    <xf numFmtId="166" fontId="6" fillId="56" borderId="32" xfId="180" applyFont="1" applyFill="1" applyBorder="1" applyAlignment="1" applyProtection="1">
      <alignment horizontal="right"/>
      <protection/>
    </xf>
    <xf numFmtId="166" fontId="3" fillId="52" borderId="59" xfId="180" applyFont="1" applyFill="1" applyBorder="1" applyAlignment="1" applyProtection="1">
      <alignment horizontal="right"/>
      <protection/>
    </xf>
    <xf numFmtId="166" fontId="3" fillId="0" borderId="32" xfId="180" applyFont="1" applyFill="1" applyBorder="1" applyAlignment="1" applyProtection="1">
      <alignment horizontal="right"/>
      <protection/>
    </xf>
    <xf numFmtId="166" fontId="6" fillId="0" borderId="35" xfId="180" applyFont="1" applyFill="1" applyBorder="1" applyProtection="1">
      <alignment/>
      <protection/>
    </xf>
    <xf numFmtId="166" fontId="6" fillId="56" borderId="38" xfId="180" applyFont="1" applyFill="1" applyBorder="1" applyAlignment="1" applyProtection="1">
      <alignment horizontal="right"/>
      <protection/>
    </xf>
    <xf numFmtId="166" fontId="6" fillId="56" borderId="29" xfId="180" applyFont="1" applyFill="1" applyBorder="1" applyAlignment="1" applyProtection="1">
      <alignment horizontal="left"/>
      <protection/>
    </xf>
    <xf numFmtId="37" fontId="11" fillId="56" borderId="29" xfId="180" applyNumberFormat="1" applyFont="1" applyFill="1" applyBorder="1" applyProtection="1">
      <alignment/>
      <protection locked="0"/>
    </xf>
    <xf numFmtId="37" fontId="6" fillId="56" borderId="29" xfId="180" applyNumberFormat="1" applyFont="1" applyFill="1" applyBorder="1" applyProtection="1">
      <alignment/>
      <protection/>
    </xf>
    <xf numFmtId="37" fontId="6" fillId="56" borderId="39" xfId="180" applyNumberFormat="1" applyFont="1" applyFill="1" applyBorder="1" applyProtection="1">
      <alignment/>
      <protection/>
    </xf>
    <xf numFmtId="165" fontId="4" fillId="56" borderId="0" xfId="179" applyFont="1" applyFill="1" applyBorder="1" applyAlignment="1" applyProtection="1">
      <alignment horizontal="right"/>
      <protection/>
    </xf>
    <xf numFmtId="165" fontId="4" fillId="56" borderId="35" xfId="179" applyFont="1" applyFill="1" applyBorder="1" applyAlignment="1" applyProtection="1">
      <alignment horizontal="right"/>
      <protection/>
    </xf>
    <xf numFmtId="165" fontId="4" fillId="56" borderId="29" xfId="179" applyFont="1" applyFill="1" applyBorder="1" applyAlignment="1" applyProtection="1">
      <alignment horizontal="right"/>
      <protection/>
    </xf>
    <xf numFmtId="165" fontId="4" fillId="56" borderId="39" xfId="179" applyFont="1" applyFill="1" applyBorder="1" applyAlignment="1" applyProtection="1">
      <alignment horizontal="right"/>
      <protection/>
    </xf>
    <xf numFmtId="165" fontId="4" fillId="56" borderId="0" xfId="179" applyFont="1" applyFill="1" applyProtection="1">
      <alignment/>
      <protection/>
    </xf>
    <xf numFmtId="14" fontId="16" fillId="56" borderId="28" xfId="179" applyNumberFormat="1" applyFont="1" applyFill="1" applyBorder="1" applyAlignment="1" applyProtection="1">
      <alignment/>
      <protection locked="0"/>
    </xf>
    <xf numFmtId="14" fontId="16" fillId="56" borderId="28" xfId="179" applyNumberFormat="1" applyFont="1" applyFill="1" applyBorder="1" applyAlignment="1" applyProtection="1">
      <alignment/>
      <protection/>
    </xf>
    <xf numFmtId="165" fontId="16" fillId="56" borderId="31" xfId="179" applyFont="1" applyFill="1" applyBorder="1" applyAlignment="1" applyProtection="1">
      <alignment/>
      <protection/>
    </xf>
    <xf numFmtId="165" fontId="16" fillId="56" borderId="38" xfId="179" applyFont="1" applyFill="1" applyBorder="1" applyAlignment="1" applyProtection="1">
      <alignment vertical="top"/>
      <protection/>
    </xf>
    <xf numFmtId="165" fontId="16" fillId="56" borderId="29" xfId="179" applyFont="1" applyFill="1" applyBorder="1" applyAlignment="1" applyProtection="1">
      <alignment vertical="top"/>
      <protection/>
    </xf>
    <xf numFmtId="165" fontId="16" fillId="56" borderId="39" xfId="179" applyFont="1" applyFill="1" applyBorder="1" applyAlignment="1" applyProtection="1">
      <alignment vertical="top"/>
      <protection/>
    </xf>
    <xf numFmtId="165" fontId="16" fillId="56" borderId="31" xfId="179" applyFont="1" applyFill="1" applyBorder="1" applyProtection="1">
      <alignment/>
      <protection/>
    </xf>
    <xf numFmtId="0" fontId="2" fillId="56" borderId="31" xfId="0" applyFont="1" applyFill="1" applyBorder="1" applyAlignment="1" applyProtection="1">
      <alignment/>
      <protection/>
    </xf>
    <xf numFmtId="0" fontId="2" fillId="56" borderId="36" xfId="0" applyFont="1" applyFill="1" applyBorder="1" applyAlignment="1" applyProtection="1">
      <alignment/>
      <protection/>
    </xf>
    <xf numFmtId="165" fontId="13" fillId="56" borderId="75" xfId="179" applyFont="1" applyFill="1" applyBorder="1" applyAlignment="1" applyProtection="1">
      <alignment horizontal="left"/>
      <protection/>
    </xf>
    <xf numFmtId="165" fontId="16" fillId="56" borderId="24" xfId="179" applyFont="1" applyFill="1" applyBorder="1" applyAlignment="1" applyProtection="1">
      <alignment horizontal="left"/>
      <protection/>
    </xf>
    <xf numFmtId="0" fontId="2" fillId="56" borderId="0" xfId="0" applyFont="1" applyFill="1" applyBorder="1" applyAlignment="1" applyProtection="1">
      <alignment horizontal="right"/>
      <protection/>
    </xf>
    <xf numFmtId="0" fontId="2" fillId="56" borderId="35" xfId="0" applyFont="1" applyFill="1" applyBorder="1" applyAlignment="1" applyProtection="1">
      <alignment/>
      <protection/>
    </xf>
    <xf numFmtId="165" fontId="16" fillId="57" borderId="38" xfId="179" applyFont="1" applyFill="1" applyBorder="1" applyProtection="1">
      <alignment/>
      <protection/>
    </xf>
    <xf numFmtId="165" fontId="16" fillId="57" borderId="76" xfId="179" applyFont="1" applyFill="1" applyBorder="1" applyProtection="1">
      <alignment/>
      <protection/>
    </xf>
    <xf numFmtId="165" fontId="16" fillId="57" borderId="39" xfId="179" applyFont="1" applyFill="1" applyBorder="1" applyProtection="1">
      <alignment/>
      <protection/>
    </xf>
    <xf numFmtId="165" fontId="16" fillId="56" borderId="36" xfId="179" applyFont="1" applyFill="1" applyBorder="1" applyProtection="1">
      <alignment/>
      <protection/>
    </xf>
    <xf numFmtId="165" fontId="16" fillId="56" borderId="32" xfId="179" applyFont="1" applyFill="1" applyBorder="1" applyProtection="1">
      <alignment/>
      <protection/>
    </xf>
    <xf numFmtId="165" fontId="16" fillId="56" borderId="32" xfId="179" applyFont="1" applyFill="1" applyBorder="1" applyAlignment="1" applyProtection="1" quotePrefix="1">
      <alignment horizontal="left"/>
      <protection/>
    </xf>
    <xf numFmtId="165" fontId="16" fillId="56" borderId="0" xfId="179" applyFont="1" applyFill="1" applyProtection="1">
      <alignment/>
      <protection/>
    </xf>
    <xf numFmtId="0" fontId="0" fillId="52" borderId="77" xfId="0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right"/>
      <protection/>
    </xf>
    <xf numFmtId="0" fontId="81" fillId="56" borderId="0" xfId="0" applyFont="1" applyFill="1" applyBorder="1" applyAlignment="1" applyProtection="1">
      <alignment/>
      <protection/>
    </xf>
    <xf numFmtId="164" fontId="0" fillId="56" borderId="0" xfId="96" applyNumberFormat="1" applyFont="1" applyFill="1" applyBorder="1" applyAlignment="1" applyProtection="1">
      <alignment/>
      <protection/>
    </xf>
    <xf numFmtId="0" fontId="1" fillId="56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27" borderId="61" xfId="0" applyFont="1" applyFill="1" applyBorder="1" applyAlignment="1" applyProtection="1">
      <alignment horizontal="right" wrapText="1"/>
      <protection/>
    </xf>
    <xf numFmtId="0" fontId="0" fillId="52" borderId="56" xfId="0" applyFont="1" applyFill="1" applyBorder="1" applyAlignment="1" applyProtection="1">
      <alignment horizontal="center"/>
      <protection/>
    </xf>
    <xf numFmtId="164" fontId="0" fillId="0" borderId="35" xfId="96" applyNumberFormat="1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 horizontal="right"/>
      <protection/>
    </xf>
    <xf numFmtId="0" fontId="81" fillId="56" borderId="78" xfId="0" applyFont="1" applyFill="1" applyBorder="1" applyAlignment="1" applyProtection="1">
      <alignment/>
      <protection/>
    </xf>
    <xf numFmtId="164" fontId="0" fillId="56" borderId="78" xfId="96" applyNumberFormat="1" applyFont="1" applyFill="1" applyBorder="1" applyAlignment="1" applyProtection="1">
      <alignment/>
      <protection/>
    </xf>
    <xf numFmtId="0" fontId="1" fillId="27" borderId="79" xfId="0" applyFont="1" applyFill="1" applyBorder="1" applyAlignment="1" applyProtection="1">
      <alignment horizontal="right" wrapText="1"/>
      <protection/>
    </xf>
    <xf numFmtId="0" fontId="1" fillId="52" borderId="30" xfId="0" applyFont="1" applyFill="1" applyBorder="1" applyAlignment="1" applyProtection="1">
      <alignment horizontal="right" wrapText="1"/>
      <protection/>
    </xf>
    <xf numFmtId="0" fontId="0" fillId="52" borderId="80" xfId="0" applyFill="1" applyBorder="1" applyAlignment="1" applyProtection="1">
      <alignment/>
      <protection/>
    </xf>
    <xf numFmtId="0" fontId="0" fillId="52" borderId="80" xfId="0" applyFont="1" applyFill="1" applyBorder="1" applyAlignment="1" applyProtection="1">
      <alignment horizontal="center"/>
      <protection/>
    </xf>
    <xf numFmtId="0" fontId="0" fillId="52" borderId="81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64" fontId="0" fillId="0" borderId="29" xfId="96" applyNumberFormat="1" applyFont="1" applyFill="1" applyBorder="1" applyAlignment="1" applyProtection="1">
      <alignment/>
      <protection locked="0"/>
    </xf>
    <xf numFmtId="0" fontId="81" fillId="56" borderId="29" xfId="0" applyFont="1" applyFill="1" applyBorder="1" applyAlignment="1" applyProtection="1">
      <alignment/>
      <protection/>
    </xf>
    <xf numFmtId="164" fontId="0" fillId="56" borderId="29" xfId="96" applyNumberFormat="1" applyFont="1" applyFill="1" applyBorder="1" applyAlignment="1" applyProtection="1">
      <alignment/>
      <protection/>
    </xf>
    <xf numFmtId="164" fontId="0" fillId="0" borderId="39" xfId="96" applyNumberFormat="1" applyFont="1" applyFill="1" applyBorder="1" applyAlignment="1" applyProtection="1">
      <alignment/>
      <protection/>
    </xf>
    <xf numFmtId="165" fontId="18" fillId="56" borderId="0" xfId="179" applyFont="1" applyFill="1" applyBorder="1" applyAlignment="1" applyProtection="1">
      <alignment horizontal="center"/>
      <protection/>
    </xf>
    <xf numFmtId="165" fontId="4" fillId="56" borderId="0" xfId="179" applyFill="1" applyBorder="1" applyAlignment="1" applyProtection="1">
      <alignment horizontal="left" vertical="top" wrapText="1"/>
      <protection locked="0"/>
    </xf>
    <xf numFmtId="165" fontId="3" fillId="56" borderId="0" xfId="179" applyFont="1" applyFill="1" applyBorder="1" applyAlignment="1" applyProtection="1">
      <alignment horizontal="right"/>
      <protection/>
    </xf>
    <xf numFmtId="41" fontId="3" fillId="56" borderId="0" xfId="179" applyNumberFormat="1" applyFont="1" applyFill="1" applyBorder="1" applyAlignment="1" applyProtection="1">
      <alignment horizontal="left" vertical="top"/>
      <protection locked="0"/>
    </xf>
    <xf numFmtId="165" fontId="3" fillId="56" borderId="0" xfId="179" applyFont="1" applyFill="1" applyBorder="1" applyAlignment="1" applyProtection="1">
      <alignment horizontal="left"/>
      <protection/>
    </xf>
    <xf numFmtId="165" fontId="3" fillId="56" borderId="0" xfId="179" applyFont="1" applyFill="1" applyBorder="1" applyAlignment="1" applyProtection="1">
      <alignment horizontal="center"/>
      <protection/>
    </xf>
    <xf numFmtId="37" fontId="6" fillId="54" borderId="82" xfId="180" applyNumberFormat="1" applyFont="1" applyFill="1" applyBorder="1" applyProtection="1">
      <alignment/>
      <protection/>
    </xf>
    <xf numFmtId="37" fontId="11" fillId="56" borderId="45" xfId="96" applyNumberFormat="1" applyFont="1" applyFill="1" applyBorder="1" applyAlignment="1" applyProtection="1">
      <alignment/>
      <protection locked="0"/>
    </xf>
    <xf numFmtId="37" fontId="11" fillId="56" borderId="40" xfId="96" applyNumberFormat="1" applyFont="1" applyFill="1" applyBorder="1" applyAlignment="1" applyProtection="1">
      <alignment/>
      <protection locked="0"/>
    </xf>
    <xf numFmtId="37" fontId="11" fillId="56" borderId="83" xfId="96" applyNumberFormat="1" applyFont="1" applyFill="1" applyBorder="1" applyAlignment="1" applyProtection="1">
      <alignment/>
      <protection locked="0"/>
    </xf>
    <xf numFmtId="37" fontId="5" fillId="54" borderId="27" xfId="180" applyNumberFormat="1" applyFont="1" applyFill="1" applyBorder="1" applyProtection="1">
      <alignment/>
      <protection/>
    </xf>
    <xf numFmtId="37" fontId="6" fillId="56" borderId="26" xfId="96" applyNumberFormat="1" applyFont="1" applyFill="1" applyBorder="1" applyAlignment="1" applyProtection="1">
      <alignment/>
      <protection/>
    </xf>
    <xf numFmtId="37" fontId="6" fillId="56" borderId="77" xfId="96" applyNumberFormat="1" applyFont="1" applyFill="1" applyBorder="1" applyAlignment="1" applyProtection="1">
      <alignment/>
      <protection/>
    </xf>
    <xf numFmtId="164" fontId="5" fillId="55" borderId="84" xfId="96" applyNumberFormat="1" applyFont="1" applyFill="1" applyBorder="1" applyAlignment="1" applyProtection="1">
      <alignment/>
      <protection/>
    </xf>
    <xf numFmtId="164" fontId="5" fillId="55" borderId="85" xfId="96" applyNumberFormat="1" applyFont="1" applyFill="1" applyBorder="1" applyAlignment="1" applyProtection="1">
      <alignment/>
      <protection/>
    </xf>
    <xf numFmtId="164" fontId="6" fillId="56" borderId="0" xfId="96" applyNumberFormat="1" applyFont="1" applyFill="1" applyBorder="1" applyAlignment="1" applyProtection="1">
      <alignment/>
      <protection/>
    </xf>
    <xf numFmtId="164" fontId="6" fillId="56" borderId="35" xfId="96" applyNumberFormat="1" applyFont="1" applyFill="1" applyBorder="1" applyAlignment="1" applyProtection="1">
      <alignment/>
      <protection/>
    </xf>
    <xf numFmtId="164" fontId="5" fillId="55" borderId="84" xfId="96" applyNumberFormat="1" applyFont="1" applyFill="1" applyBorder="1" applyAlignment="1" applyProtection="1">
      <alignment horizontal="right"/>
      <protection/>
    </xf>
    <xf numFmtId="166" fontId="1" fillId="54" borderId="71" xfId="180" applyFont="1" applyFill="1" applyBorder="1" applyAlignment="1" applyProtection="1" quotePrefix="1">
      <alignment horizontal="right"/>
      <protection/>
    </xf>
    <xf numFmtId="178" fontId="4" fillId="56" borderId="0" xfId="180" applyNumberFormat="1" applyFill="1" applyProtection="1">
      <alignment/>
      <protection/>
    </xf>
    <xf numFmtId="165" fontId="16" fillId="56" borderId="86" xfId="179" applyFont="1" applyFill="1" applyBorder="1" applyAlignment="1" applyProtection="1">
      <alignment/>
      <protection/>
    </xf>
    <xf numFmtId="0" fontId="1" fillId="52" borderId="87" xfId="0" applyFont="1" applyFill="1" applyBorder="1" applyAlignment="1" applyProtection="1" quotePrefix="1">
      <alignment horizontal="right"/>
      <protection/>
    </xf>
    <xf numFmtId="165" fontId="3" fillId="56" borderId="0" xfId="179" applyFont="1" applyFill="1" applyBorder="1" applyAlignment="1" applyProtection="1">
      <alignment horizontal="right"/>
      <protection/>
    </xf>
    <xf numFmtId="37" fontId="12" fillId="27" borderId="77" xfId="0" applyNumberFormat="1" applyFont="1" applyFill="1" applyBorder="1" applyAlignment="1" applyProtection="1">
      <alignment/>
      <protection/>
    </xf>
    <xf numFmtId="37" fontId="0" fillId="52" borderId="41" xfId="0" applyNumberFormat="1" applyFill="1" applyBorder="1" applyAlignment="1" applyProtection="1">
      <alignment/>
      <protection/>
    </xf>
    <xf numFmtId="37" fontId="0" fillId="52" borderId="77" xfId="0" applyNumberFormat="1" applyFont="1" applyFill="1" applyBorder="1" applyAlignment="1" applyProtection="1">
      <alignment horizontal="center"/>
      <protection/>
    </xf>
    <xf numFmtId="37" fontId="0" fillId="0" borderId="41" xfId="96" applyNumberFormat="1" applyFont="1" applyFill="1" applyBorder="1" applyAlignment="1" applyProtection="1">
      <alignment/>
      <protection locked="0"/>
    </xf>
    <xf numFmtId="39" fontId="12" fillId="27" borderId="56" xfId="0" applyNumberFormat="1" applyFont="1" applyFill="1" applyBorder="1" applyAlignment="1" applyProtection="1">
      <alignment/>
      <protection/>
    </xf>
    <xf numFmtId="39" fontId="0" fillId="52" borderId="56" xfId="0" applyNumberFormat="1" applyFont="1" applyFill="1" applyBorder="1" applyAlignment="1" applyProtection="1">
      <alignment horizontal="center"/>
      <protection/>
    </xf>
    <xf numFmtId="39" fontId="0" fillId="0" borderId="57" xfId="96" applyNumberFormat="1" applyFont="1" applyFill="1" applyBorder="1" applyAlignment="1" applyProtection="1">
      <alignment/>
      <protection/>
    </xf>
    <xf numFmtId="39" fontId="0" fillId="0" borderId="85" xfId="96" applyNumberFormat="1" applyFont="1" applyFill="1" applyBorder="1" applyAlignment="1" applyProtection="1">
      <alignment/>
      <protection/>
    </xf>
    <xf numFmtId="37" fontId="0" fillId="0" borderId="77" xfId="96" applyNumberFormat="1" applyFont="1" applyFill="1" applyBorder="1" applyAlignment="1" applyProtection="1">
      <alignment/>
      <protection locked="0"/>
    </xf>
    <xf numFmtId="39" fontId="0" fillId="0" borderId="56" xfId="96" applyNumberFormat="1" applyFont="1" applyFill="1" applyBorder="1" applyAlignment="1" applyProtection="1">
      <alignment/>
      <protection/>
    </xf>
    <xf numFmtId="37" fontId="12" fillId="27" borderId="23" xfId="0" applyNumberFormat="1" applyFont="1" applyFill="1" applyBorder="1" applyAlignment="1" applyProtection="1">
      <alignment/>
      <protection/>
    </xf>
    <xf numFmtId="39" fontId="12" fillId="27" borderId="66" xfId="0" applyNumberFormat="1" applyFont="1" applyFill="1" applyBorder="1" applyAlignment="1" applyProtection="1">
      <alignment/>
      <protection/>
    </xf>
    <xf numFmtId="37" fontId="0" fillId="0" borderId="23" xfId="96" applyNumberFormat="1" applyFont="1" applyFill="1" applyBorder="1" applyAlignment="1" applyProtection="1">
      <alignment/>
      <protection locked="0"/>
    </xf>
    <xf numFmtId="37" fontId="0" fillId="0" borderId="66" xfId="96" applyNumberFormat="1" applyFont="1" applyFill="1" applyBorder="1" applyAlignment="1" applyProtection="1">
      <alignment/>
      <protection/>
    </xf>
    <xf numFmtId="37" fontId="0" fillId="0" borderId="44" xfId="96" applyNumberFormat="1" applyFont="1" applyFill="1" applyBorder="1" applyAlignment="1" applyProtection="1">
      <alignment/>
      <protection locked="0"/>
    </xf>
    <xf numFmtId="37" fontId="0" fillId="0" borderId="84" xfId="96" applyNumberFormat="1" applyFont="1" applyFill="1" applyBorder="1" applyAlignment="1" applyProtection="1">
      <alignment/>
      <protection/>
    </xf>
    <xf numFmtId="37" fontId="0" fillId="0" borderId="85" xfId="96" applyNumberFormat="1" applyFont="1" applyFill="1" applyBorder="1" applyAlignment="1" applyProtection="1">
      <alignment/>
      <protection/>
    </xf>
    <xf numFmtId="37" fontId="0" fillId="0" borderId="44" xfId="96" applyNumberFormat="1" applyFont="1" applyFill="1" applyBorder="1" applyAlignment="1" applyProtection="1">
      <alignment/>
      <protection/>
    </xf>
    <xf numFmtId="37" fontId="0" fillId="0" borderId="23" xfId="96" applyNumberFormat="1" applyFont="1" applyFill="1" applyBorder="1" applyAlignment="1" applyProtection="1">
      <alignment/>
      <protection/>
    </xf>
    <xf numFmtId="37" fontId="1" fillId="56" borderId="0" xfId="96" applyNumberFormat="1" applyFont="1" applyFill="1" applyBorder="1" applyAlignment="1" applyProtection="1">
      <alignment/>
      <protection/>
    </xf>
    <xf numFmtId="37" fontId="82" fillId="56" borderId="0" xfId="0" applyNumberFormat="1" applyFont="1" applyFill="1" applyBorder="1" applyAlignment="1" applyProtection="1">
      <alignment/>
      <protection/>
    </xf>
    <xf numFmtId="37" fontId="1" fillId="56" borderId="35" xfId="96" applyNumberFormat="1" applyFont="1" applyFill="1" applyBorder="1" applyAlignment="1" applyProtection="1">
      <alignment/>
      <protection/>
    </xf>
    <xf numFmtId="37" fontId="0" fillId="52" borderId="84" xfId="0" applyNumberFormat="1" applyFill="1" applyBorder="1" applyAlignment="1" applyProtection="1">
      <alignment/>
      <protection/>
    </xf>
    <xf numFmtId="37" fontId="0" fillId="52" borderId="85" xfId="0" applyNumberFormat="1" applyFill="1" applyBorder="1" applyAlignment="1" applyProtection="1">
      <alignment/>
      <protection/>
    </xf>
    <xf numFmtId="37" fontId="4" fillId="56" borderId="0" xfId="179" applyNumberFormat="1" applyFill="1" applyBorder="1" applyAlignment="1" applyProtection="1">
      <alignment/>
      <protection/>
    </xf>
    <xf numFmtId="37" fontId="4" fillId="56" borderId="35" xfId="179" applyNumberFormat="1" applyFill="1" applyBorder="1" applyAlignment="1" applyProtection="1">
      <alignment/>
      <protection/>
    </xf>
    <xf numFmtId="0" fontId="0" fillId="0" borderId="46" xfId="0" applyFont="1" applyBorder="1" applyAlignment="1" applyProtection="1">
      <alignment horizontal="left"/>
      <protection/>
    </xf>
    <xf numFmtId="0" fontId="1" fillId="52" borderId="24" xfId="0" applyFont="1" applyFill="1" applyBorder="1" applyAlignment="1" applyProtection="1">
      <alignment horizontal="center"/>
      <protection/>
    </xf>
    <xf numFmtId="37" fontId="12" fillId="27" borderId="77" xfId="0" applyNumberFormat="1" applyFont="1" applyFill="1" applyBorder="1" applyAlignment="1" applyProtection="1">
      <alignment/>
      <protection/>
    </xf>
    <xf numFmtId="0" fontId="1" fillId="52" borderId="25" xfId="0" applyFont="1" applyFill="1" applyBorder="1" applyAlignment="1" applyProtection="1">
      <alignment/>
      <protection/>
    </xf>
    <xf numFmtId="0" fontId="1" fillId="58" borderId="46" xfId="0" applyFont="1" applyFill="1" applyBorder="1" applyAlignment="1" applyProtection="1">
      <alignment horizontal="center"/>
      <protection/>
    </xf>
    <xf numFmtId="164" fontId="0" fillId="56" borderId="0" xfId="96" applyNumberFormat="1" applyFont="1" applyFill="1" applyBorder="1" applyAlignment="1" applyProtection="1">
      <alignment/>
      <protection locked="0"/>
    </xf>
    <xf numFmtId="0" fontId="1" fillId="58" borderId="26" xfId="0" applyFont="1" applyFill="1" applyBorder="1" applyAlignment="1" applyProtection="1">
      <alignment horizontal="center" wrapText="1"/>
      <protection/>
    </xf>
    <xf numFmtId="0" fontId="1" fillId="58" borderId="23" xfId="0" applyFont="1" applyFill="1" applyBorder="1" applyAlignment="1" applyProtection="1">
      <alignment horizontal="center" wrapText="1"/>
      <protection/>
    </xf>
    <xf numFmtId="0" fontId="1" fillId="58" borderId="77" xfId="0" applyFont="1" applyFill="1" applyBorder="1" applyAlignment="1" applyProtection="1">
      <alignment horizontal="center" wrapText="1"/>
      <protection/>
    </xf>
    <xf numFmtId="0" fontId="12" fillId="27" borderId="77" xfId="0" applyFont="1" applyFill="1" applyBorder="1" applyAlignment="1" applyProtection="1">
      <alignment horizontal="left" wrapText="1"/>
      <protection/>
    </xf>
    <xf numFmtId="39" fontId="0" fillId="56" borderId="57" xfId="96" applyNumberFormat="1" applyFont="1" applyFill="1" applyBorder="1" applyAlignment="1" applyProtection="1">
      <alignment/>
      <protection/>
    </xf>
    <xf numFmtId="164" fontId="0" fillId="56" borderId="35" xfId="96" applyNumberFormat="1" applyFont="1" applyFill="1" applyBorder="1" applyAlignment="1" applyProtection="1">
      <alignment/>
      <protection/>
    </xf>
    <xf numFmtId="0" fontId="1" fillId="56" borderId="0" xfId="0" applyFont="1" applyFill="1" applyBorder="1" applyAlignment="1" applyProtection="1">
      <alignment horizontal="center"/>
      <protection/>
    </xf>
    <xf numFmtId="164" fontId="0" fillId="56" borderId="78" xfId="96" applyNumberFormat="1" applyFont="1" applyFill="1" applyBorder="1" applyAlignment="1" applyProtection="1">
      <alignment/>
      <protection locked="0"/>
    </xf>
    <xf numFmtId="164" fontId="0" fillId="56" borderId="88" xfId="96" applyNumberFormat="1" applyFont="1" applyFill="1" applyBorder="1" applyAlignment="1" applyProtection="1">
      <alignment/>
      <protection/>
    </xf>
    <xf numFmtId="37" fontId="0" fillId="56" borderId="42" xfId="96" applyNumberFormat="1" applyFont="1" applyFill="1" applyBorder="1" applyAlignment="1" applyProtection="1">
      <alignment/>
      <protection locked="0"/>
    </xf>
    <xf numFmtId="37" fontId="0" fillId="56" borderId="51" xfId="96" applyNumberFormat="1" applyFont="1" applyFill="1" applyBorder="1" applyAlignment="1" applyProtection="1">
      <alignment/>
      <protection locked="0"/>
    </xf>
    <xf numFmtId="0" fontId="1" fillId="0" borderId="84" xfId="0" applyFont="1" applyBorder="1" applyAlignment="1" applyProtection="1">
      <alignment horizontal="center"/>
      <protection/>
    </xf>
    <xf numFmtId="0" fontId="1" fillId="56" borderId="89" xfId="0" applyFont="1" applyFill="1" applyBorder="1" applyAlignment="1" applyProtection="1">
      <alignment horizontal="center"/>
      <protection/>
    </xf>
    <xf numFmtId="0" fontId="1" fillId="56" borderId="90" xfId="0" applyFont="1" applyFill="1" applyBorder="1" applyAlignment="1" applyProtection="1">
      <alignment horizontal="center"/>
      <protection/>
    </xf>
    <xf numFmtId="0" fontId="1" fillId="56" borderId="91" xfId="0" applyFont="1" applyFill="1" applyBorder="1" applyAlignment="1" applyProtection="1">
      <alignment horizontal="center"/>
      <protection/>
    </xf>
    <xf numFmtId="165" fontId="3" fillId="56" borderId="0" xfId="179" applyFont="1" applyFill="1" applyBorder="1" applyAlignment="1" applyProtection="1">
      <alignment/>
      <protection/>
    </xf>
    <xf numFmtId="165" fontId="3" fillId="56" borderId="0" xfId="179" applyFont="1" applyFill="1" applyBorder="1" applyAlignment="1" applyProtection="1">
      <alignment wrapText="1"/>
      <protection/>
    </xf>
    <xf numFmtId="0" fontId="12" fillId="27" borderId="23" xfId="0" applyFont="1" applyFill="1" applyBorder="1" applyAlignment="1" applyProtection="1">
      <alignment horizontal="left" wrapText="1"/>
      <protection/>
    </xf>
    <xf numFmtId="37" fontId="12" fillId="27" borderId="23" xfId="0" applyNumberFormat="1" applyFont="1" applyFill="1" applyBorder="1" applyAlignment="1" applyProtection="1">
      <alignment/>
      <protection/>
    </xf>
    <xf numFmtId="0" fontId="1" fillId="56" borderId="84" xfId="0" applyFont="1" applyFill="1" applyBorder="1" applyAlignment="1" applyProtection="1">
      <alignment horizontal="center"/>
      <protection/>
    </xf>
    <xf numFmtId="0" fontId="1" fillId="52" borderId="41" xfId="0" applyFont="1" applyFill="1" applyBorder="1" applyAlignment="1" applyProtection="1">
      <alignment horizontal="right" wrapText="1"/>
      <protection/>
    </xf>
    <xf numFmtId="37" fontId="0" fillId="52" borderId="41" xfId="0" applyNumberFormat="1" applyFont="1" applyFill="1" applyBorder="1" applyAlignment="1" applyProtection="1">
      <alignment horizontal="center"/>
      <protection/>
    </xf>
    <xf numFmtId="39" fontId="0" fillId="52" borderId="57" xfId="0" applyNumberFormat="1" applyFont="1" applyFill="1" applyBorder="1" applyAlignment="1" applyProtection="1">
      <alignment horizontal="center"/>
      <protection/>
    </xf>
    <xf numFmtId="37" fontId="0" fillId="56" borderId="77" xfId="96" applyNumberFormat="1" applyFont="1" applyFill="1" applyBorder="1" applyAlignment="1" applyProtection="1">
      <alignment/>
      <protection locked="0"/>
    </xf>
    <xf numFmtId="39" fontId="0" fillId="56" borderId="56" xfId="96" applyNumberFormat="1" applyFont="1" applyFill="1" applyBorder="1" applyAlignment="1" applyProtection="1">
      <alignment/>
      <protection/>
    </xf>
    <xf numFmtId="37" fontId="0" fillId="56" borderId="41" xfId="96" applyNumberFormat="1" applyFont="1" applyFill="1" applyBorder="1" applyAlignment="1" applyProtection="1">
      <alignment/>
      <protection locked="0"/>
    </xf>
    <xf numFmtId="39" fontId="0" fillId="56" borderId="85" xfId="96" applyNumberFormat="1" applyFont="1" applyFill="1" applyBorder="1" applyAlignment="1" applyProtection="1">
      <alignment/>
      <protection/>
    </xf>
    <xf numFmtId="164" fontId="0" fillId="56" borderId="35" xfId="96" applyNumberFormat="1" applyFont="1" applyFill="1" applyBorder="1" applyAlignment="1" applyProtection="1">
      <alignment/>
      <protection/>
    </xf>
    <xf numFmtId="0" fontId="0" fillId="56" borderId="92" xfId="0" applyFont="1" applyFill="1" applyBorder="1" applyAlignment="1" applyProtection="1">
      <alignment horizontal="center"/>
      <protection/>
    </xf>
    <xf numFmtId="0" fontId="0" fillId="56" borderId="32" xfId="0" applyFont="1" applyFill="1" applyBorder="1" applyAlignment="1" applyProtection="1" quotePrefix="1">
      <alignment horizontal="right"/>
      <protection/>
    </xf>
    <xf numFmtId="0" fontId="0" fillId="56" borderId="32" xfId="0" applyFont="1" applyFill="1" applyBorder="1" applyAlignment="1" applyProtection="1">
      <alignment horizontal="right"/>
      <protection/>
    </xf>
    <xf numFmtId="0" fontId="0" fillId="56" borderId="38" xfId="0" applyFont="1" applyFill="1" applyBorder="1" applyAlignment="1" applyProtection="1">
      <alignment horizontal="right"/>
      <protection/>
    </xf>
    <xf numFmtId="0" fontId="1" fillId="56" borderId="29" xfId="0" applyFont="1" applyFill="1" applyBorder="1" applyAlignment="1" applyProtection="1">
      <alignment horizontal="center"/>
      <protection/>
    </xf>
    <xf numFmtId="164" fontId="0" fillId="56" borderId="39" xfId="96" applyNumberFormat="1" applyFont="1" applyFill="1" applyBorder="1" applyAlignment="1" applyProtection="1">
      <alignment/>
      <protection/>
    </xf>
    <xf numFmtId="165" fontId="4" fillId="56" borderId="32" xfId="179" applyFill="1" applyBorder="1" applyAlignment="1" applyProtection="1">
      <alignment vertical="top"/>
      <protection locked="0"/>
    </xf>
    <xf numFmtId="165" fontId="4" fillId="56" borderId="0" xfId="179" applyFill="1" applyBorder="1" applyAlignment="1" applyProtection="1">
      <alignment vertical="top"/>
      <protection locked="0"/>
    </xf>
    <xf numFmtId="165" fontId="4" fillId="56" borderId="38" xfId="179" applyFill="1" applyBorder="1" applyAlignment="1" applyProtection="1">
      <alignment vertical="top"/>
      <protection locked="0"/>
    </xf>
    <xf numFmtId="165" fontId="4" fillId="56" borderId="29" xfId="179" applyFill="1" applyBorder="1" applyAlignment="1" applyProtection="1">
      <alignment vertical="top"/>
      <protection locked="0"/>
    </xf>
    <xf numFmtId="165" fontId="4" fillId="56" borderId="29" xfId="179" applyFill="1" applyBorder="1" applyAlignment="1" applyProtection="1">
      <alignment horizontal="left" vertical="top"/>
      <protection locked="0"/>
    </xf>
    <xf numFmtId="165" fontId="3" fillId="56" borderId="29" xfId="179" applyFont="1" applyFill="1" applyBorder="1" applyAlignment="1" applyProtection="1">
      <alignment vertical="top"/>
      <protection locked="0"/>
    </xf>
    <xf numFmtId="165" fontId="3" fillId="56" borderId="39" xfId="179" applyFont="1" applyFill="1" applyBorder="1" applyAlignment="1" applyProtection="1">
      <alignment vertical="top"/>
      <protection locked="0"/>
    </xf>
    <xf numFmtId="165" fontId="4" fillId="56" borderId="0" xfId="179" applyFill="1" applyBorder="1" applyAlignment="1" applyProtection="1">
      <alignment horizontal="left" vertical="top"/>
      <protection locked="0"/>
    </xf>
    <xf numFmtId="37" fontId="12" fillId="27" borderId="46" xfId="0" applyNumberFormat="1" applyFont="1" applyFill="1" applyBorder="1" applyAlignment="1" applyProtection="1">
      <alignment/>
      <protection/>
    </xf>
    <xf numFmtId="37" fontId="0" fillId="52" borderId="50" xfId="0" applyNumberFormat="1" applyFill="1" applyBorder="1" applyAlignment="1" applyProtection="1">
      <alignment/>
      <protection/>
    </xf>
    <xf numFmtId="0" fontId="1" fillId="52" borderId="26" xfId="0" applyFont="1" applyFill="1" applyBorder="1" applyAlignment="1" applyProtection="1">
      <alignment/>
      <protection/>
    </xf>
    <xf numFmtId="0" fontId="1" fillId="52" borderId="23" xfId="0" applyFont="1" applyFill="1" applyBorder="1" applyAlignment="1" applyProtection="1">
      <alignment horizontal="center"/>
      <protection/>
    </xf>
    <xf numFmtId="0" fontId="1" fillId="58" borderId="77" xfId="0" applyFont="1" applyFill="1" applyBorder="1" applyAlignment="1" applyProtection="1">
      <alignment horizontal="center"/>
      <protection/>
    </xf>
    <xf numFmtId="0" fontId="1" fillId="56" borderId="77" xfId="0" applyFont="1" applyFill="1" applyBorder="1" applyAlignment="1" applyProtection="1">
      <alignment horizontal="center" wrapText="1"/>
      <protection/>
    </xf>
    <xf numFmtId="0" fontId="1" fillId="56" borderId="46" xfId="0" applyFont="1" applyFill="1" applyBorder="1" applyAlignment="1" applyProtection="1">
      <alignment horizontal="center"/>
      <protection/>
    </xf>
    <xf numFmtId="0" fontId="1" fillId="56" borderId="77" xfId="0" applyFont="1" applyFill="1" applyBorder="1" applyAlignment="1" applyProtection="1">
      <alignment horizontal="center"/>
      <protection/>
    </xf>
    <xf numFmtId="0" fontId="1" fillId="56" borderId="42" xfId="0" applyFont="1" applyFill="1" applyBorder="1" applyAlignment="1" applyProtection="1">
      <alignment horizontal="center"/>
      <protection/>
    </xf>
    <xf numFmtId="0" fontId="1" fillId="56" borderId="56" xfId="0" applyFont="1" applyFill="1" applyBorder="1" applyAlignment="1" applyProtection="1">
      <alignment horizontal="center"/>
      <protection/>
    </xf>
    <xf numFmtId="165" fontId="16" fillId="56" borderId="93" xfId="179" applyFont="1" applyFill="1" applyBorder="1" applyAlignment="1" applyProtection="1" quotePrefix="1">
      <alignment horizontal="right" vertical="top"/>
      <protection/>
    </xf>
    <xf numFmtId="165" fontId="83" fillId="56" borderId="0" xfId="179" applyFont="1" applyFill="1" applyProtection="1">
      <alignment/>
      <protection/>
    </xf>
    <xf numFmtId="165" fontId="4" fillId="56" borderId="0" xfId="179" applyFill="1" applyBorder="1" applyAlignment="1" applyProtection="1">
      <alignment horizontal="left" vertical="top" wrapText="1"/>
      <protection locked="0"/>
    </xf>
    <xf numFmtId="165" fontId="18" fillId="56" borderId="0" xfId="179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165" fontId="3" fillId="56" borderId="0" xfId="179" applyFont="1" applyFill="1" applyBorder="1" applyAlignment="1" applyProtection="1">
      <alignment horizontal="right"/>
      <protection/>
    </xf>
    <xf numFmtId="41" fontId="3" fillId="56" borderId="0" xfId="179" applyNumberFormat="1" applyFont="1" applyFill="1" applyBorder="1" applyAlignment="1" applyProtection="1">
      <alignment horizontal="left" vertical="top"/>
      <protection locked="0"/>
    </xf>
    <xf numFmtId="165" fontId="3" fillId="56" borderId="0" xfId="179" applyFont="1" applyFill="1" applyBorder="1" applyAlignment="1" applyProtection="1">
      <alignment horizontal="left"/>
      <protection/>
    </xf>
    <xf numFmtId="165" fontId="3" fillId="56" borderId="0" xfId="179" applyFont="1" applyFill="1" applyBorder="1" applyAlignment="1" applyProtection="1">
      <alignment horizontal="center"/>
      <protection/>
    </xf>
    <xf numFmtId="165" fontId="18" fillId="56" borderId="0" xfId="179" applyFont="1" applyFill="1" applyBorder="1" applyAlignment="1" applyProtection="1">
      <alignment horizontal="center"/>
      <protection/>
    </xf>
    <xf numFmtId="166" fontId="6" fillId="56" borderId="0" xfId="180" applyFont="1" applyFill="1" applyBorder="1" applyAlignment="1" applyProtection="1">
      <alignment horizontal="left"/>
      <protection/>
    </xf>
    <xf numFmtId="165" fontId="3" fillId="56" borderId="0" xfId="179" applyFont="1" applyFill="1" applyBorder="1" applyAlignment="1" applyProtection="1">
      <alignment horizontal="right"/>
      <protection/>
    </xf>
    <xf numFmtId="165" fontId="3" fillId="56" borderId="0" xfId="179" applyFont="1" applyFill="1" applyBorder="1" applyAlignment="1" applyProtection="1">
      <alignment horizontal="left"/>
      <protection/>
    </xf>
    <xf numFmtId="0" fontId="1" fillId="52" borderId="50" xfId="0" applyFont="1" applyFill="1" applyBorder="1" applyAlignment="1" applyProtection="1">
      <alignment horizontal="centerContinuous"/>
      <protection/>
    </xf>
    <xf numFmtId="0" fontId="1" fillId="52" borderId="41" xfId="0" applyFont="1" applyFill="1" applyBorder="1" applyAlignment="1" applyProtection="1">
      <alignment horizontal="centerContinuous"/>
      <protection/>
    </xf>
    <xf numFmtId="166" fontId="5" fillId="0" borderId="94" xfId="180" applyFont="1" applyBorder="1" applyAlignment="1" applyProtection="1">
      <alignment horizontal="center"/>
      <protection/>
    </xf>
    <xf numFmtId="37" fontId="6" fillId="56" borderId="42" xfId="180" applyNumberFormat="1" applyFont="1" applyFill="1" applyBorder="1" applyAlignment="1" applyProtection="1">
      <alignment/>
      <protection locked="0"/>
    </xf>
    <xf numFmtId="165" fontId="18" fillId="56" borderId="0" xfId="179" applyFont="1" applyFill="1" applyBorder="1" applyAlignment="1" applyProtection="1">
      <alignment horizontal="center"/>
      <protection/>
    </xf>
    <xf numFmtId="165" fontId="3" fillId="56" borderId="0" xfId="179" applyFont="1" applyFill="1" applyBorder="1" applyAlignment="1" applyProtection="1">
      <alignment horizontal="left"/>
      <protection/>
    </xf>
    <xf numFmtId="165" fontId="18" fillId="56" borderId="0" xfId="179" applyFont="1" applyFill="1" applyBorder="1" applyAlignment="1" applyProtection="1">
      <alignment horizontal="center"/>
      <protection/>
    </xf>
    <xf numFmtId="166" fontId="6" fillId="56" borderId="24" xfId="180" applyFont="1" applyFill="1" applyBorder="1" applyAlignment="1" applyProtection="1">
      <alignment horizontal="left"/>
      <protection/>
    </xf>
    <xf numFmtId="166" fontId="6" fillId="56" borderId="44" xfId="180" applyFont="1" applyFill="1" applyBorder="1" applyAlignment="1" applyProtection="1">
      <alignment horizontal="left"/>
      <protection/>
    </xf>
    <xf numFmtId="14" fontId="3" fillId="56" borderId="95" xfId="179" applyNumberFormat="1" applyFont="1" applyFill="1" applyBorder="1" applyAlignment="1" applyProtection="1">
      <alignment horizontal="center"/>
      <protection/>
    </xf>
    <xf numFmtId="166" fontId="6" fillId="56" borderId="25" xfId="180" applyFont="1" applyFill="1" applyBorder="1" applyAlignment="1" applyProtection="1">
      <alignment horizontal="left"/>
      <protection/>
    </xf>
    <xf numFmtId="165" fontId="3" fillId="56" borderId="29" xfId="179" applyFont="1" applyFill="1" applyBorder="1" applyAlignment="1" applyProtection="1">
      <alignment horizontal="left" vertical="top"/>
      <protection/>
    </xf>
    <xf numFmtId="166" fontId="6" fillId="56" borderId="0" xfId="180" applyFont="1" applyFill="1" applyBorder="1" applyAlignment="1" applyProtection="1">
      <alignment horizontal="left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0" xfId="0" applyFont="1" applyFill="1" applyBorder="1" applyAlignment="1" applyProtection="1">
      <alignment horizontal="left"/>
      <protection/>
    </xf>
    <xf numFmtId="0" fontId="0" fillId="56" borderId="22" xfId="0" applyFont="1" applyFill="1" applyBorder="1" applyAlignment="1" applyProtection="1">
      <alignment horizontal="left"/>
      <protection/>
    </xf>
    <xf numFmtId="0" fontId="0" fillId="56" borderId="51" xfId="0" applyFont="1" applyFill="1" applyBorder="1" applyAlignment="1" applyProtection="1">
      <alignment horizontal="left"/>
      <protection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165" fontId="3" fillId="56" borderId="0" xfId="179" applyFont="1" applyFill="1" applyBorder="1" applyAlignment="1" applyProtection="1">
      <alignment horizontal="right"/>
      <protection/>
    </xf>
    <xf numFmtId="165" fontId="3" fillId="56" borderId="0" xfId="179" applyFont="1" applyFill="1" applyBorder="1" applyAlignment="1" applyProtection="1">
      <alignment wrapText="1"/>
      <protection/>
    </xf>
    <xf numFmtId="165" fontId="3" fillId="56" borderId="0" xfId="179" applyFont="1" applyFill="1" applyBorder="1" applyAlignment="1" applyProtection="1">
      <alignment horizontal="left"/>
      <protection/>
    </xf>
    <xf numFmtId="165" fontId="3" fillId="56" borderId="96" xfId="179" applyFont="1" applyFill="1" applyBorder="1" applyAlignment="1" applyProtection="1">
      <alignment horizontal="center"/>
      <protection/>
    </xf>
    <xf numFmtId="166" fontId="6" fillId="56" borderId="42" xfId="180" applyFont="1" applyFill="1" applyBorder="1" applyAlignment="1" applyProtection="1">
      <alignment horizontal="left"/>
      <protection locked="0"/>
    </xf>
    <xf numFmtId="166" fontId="6" fillId="56" borderId="51" xfId="180" applyFont="1" applyFill="1" applyBorder="1" applyAlignment="1" applyProtection="1" quotePrefix="1">
      <alignment horizontal="left"/>
      <protection locked="0"/>
    </xf>
    <xf numFmtId="166" fontId="6" fillId="56" borderId="51" xfId="180" applyFont="1" applyFill="1" applyBorder="1" applyAlignment="1" applyProtection="1">
      <alignment horizontal="left"/>
      <protection locked="0"/>
    </xf>
    <xf numFmtId="41" fontId="3" fillId="56" borderId="29" xfId="179" applyNumberFormat="1" applyFont="1" applyFill="1" applyBorder="1" applyAlignment="1" applyProtection="1">
      <alignment vertical="top"/>
      <protection/>
    </xf>
    <xf numFmtId="41" fontId="3" fillId="56" borderId="39" xfId="179" applyNumberFormat="1" applyFont="1" applyFill="1" applyBorder="1" applyAlignment="1" applyProtection="1">
      <alignment vertical="top"/>
      <protection/>
    </xf>
    <xf numFmtId="166" fontId="6" fillId="56" borderId="0" xfId="180" applyFont="1" applyFill="1" applyBorder="1" applyAlignment="1" applyProtection="1">
      <alignment horizontal="left"/>
      <protection locked="0"/>
    </xf>
    <xf numFmtId="166" fontId="6" fillId="56" borderId="0" xfId="180" applyFont="1" applyFill="1" applyBorder="1" applyAlignment="1" applyProtection="1" quotePrefix="1">
      <alignment horizontal="left"/>
      <protection locked="0"/>
    </xf>
    <xf numFmtId="164" fontId="11" fillId="56" borderId="0" xfId="96" applyNumberFormat="1" applyFont="1" applyFill="1" applyBorder="1" applyAlignment="1" applyProtection="1">
      <alignment/>
      <protection/>
    </xf>
    <xf numFmtId="37" fontId="25" fillId="56" borderId="29" xfId="180" applyNumberFormat="1" applyFont="1" applyFill="1" applyBorder="1" applyProtection="1">
      <alignment/>
      <protection/>
    </xf>
    <xf numFmtId="37" fontId="11" fillId="56" borderId="29" xfId="180" applyNumberFormat="1" applyFont="1" applyFill="1" applyBorder="1" applyProtection="1">
      <alignment/>
      <protection/>
    </xf>
    <xf numFmtId="166" fontId="6" fillId="56" borderId="42" xfId="180" applyFont="1" applyFill="1" applyBorder="1" applyAlignment="1" applyProtection="1" quotePrefix="1">
      <alignment horizontal="left"/>
      <protection locked="0"/>
    </xf>
    <xf numFmtId="165" fontId="4" fillId="56" borderId="0" xfId="179" applyFill="1" applyBorder="1" applyAlignment="1" applyProtection="1">
      <alignment horizontal="right" vertical="top" wrapText="1"/>
      <protection/>
    </xf>
    <xf numFmtId="165" fontId="4" fillId="56" borderId="0" xfId="179" applyFill="1" applyBorder="1" applyAlignment="1" applyProtection="1">
      <alignment horizontal="left" vertical="top" wrapText="1"/>
      <protection/>
    </xf>
    <xf numFmtId="37" fontId="0" fillId="56" borderId="84" xfId="96" applyNumberFormat="1" applyFont="1" applyFill="1" applyBorder="1" applyAlignment="1" applyProtection="1">
      <alignment/>
      <protection/>
    </xf>
    <xf numFmtId="0" fontId="0" fillId="0" borderId="32" xfId="0" applyFont="1" applyBorder="1" applyAlignment="1" applyProtection="1" quotePrefix="1">
      <alignment horizontal="righ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37" fontId="0" fillId="56" borderId="41" xfId="96" applyNumberFormat="1" applyFont="1" applyFill="1" applyBorder="1" applyAlignment="1" applyProtection="1">
      <alignment/>
      <protection locked="0"/>
    </xf>
    <xf numFmtId="37" fontId="0" fillId="56" borderId="41" xfId="0" applyNumberFormat="1" applyFont="1" applyFill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56" borderId="42" xfId="0" applyFont="1" applyFill="1" applyBorder="1" applyAlignment="1" applyProtection="1">
      <alignment horizontal="left"/>
      <protection locked="0"/>
    </xf>
    <xf numFmtId="37" fontId="0" fillId="56" borderId="77" xfId="0" applyNumberFormat="1" applyFont="1" applyFill="1" applyBorder="1" applyAlignment="1" applyProtection="1">
      <alignment/>
      <protection locked="0"/>
    </xf>
    <xf numFmtId="37" fontId="0" fillId="56" borderId="92" xfId="96" applyNumberFormat="1" applyFont="1" applyFill="1" applyBorder="1" applyAlignment="1" applyProtection="1">
      <alignment/>
      <protection/>
    </xf>
    <xf numFmtId="0" fontId="0" fillId="56" borderId="77" xfId="0" applyFont="1" applyFill="1" applyBorder="1" applyAlignment="1" applyProtection="1">
      <alignment horizontal="left"/>
      <protection locked="0"/>
    </xf>
    <xf numFmtId="0" fontId="0" fillId="56" borderId="41" xfId="0" applyFont="1" applyFill="1" applyBorder="1" applyAlignment="1" applyProtection="1">
      <alignment horizontal="left"/>
      <protection locked="0"/>
    </xf>
    <xf numFmtId="0" fontId="0" fillId="56" borderId="50" xfId="0" applyFont="1" applyFill="1" applyBorder="1" applyAlignment="1" applyProtection="1">
      <alignment horizontal="left"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164" fontId="0" fillId="0" borderId="0" xfId="96" applyNumberFormat="1" applyFont="1" applyFill="1" applyBorder="1" applyAlignment="1" applyProtection="1">
      <alignment/>
      <protection/>
    </xf>
    <xf numFmtId="0" fontId="0" fillId="56" borderId="32" xfId="0" applyFont="1" applyFill="1" applyBorder="1" applyAlignment="1" applyProtection="1" quotePrefix="1">
      <alignment horizontal="right"/>
      <protection locked="0"/>
    </xf>
    <xf numFmtId="41" fontId="3" fillId="56" borderId="29" xfId="179" applyNumberFormat="1" applyFont="1" applyFill="1" applyBorder="1" applyAlignment="1" applyProtection="1">
      <alignment horizontal="left" vertical="top"/>
      <protection/>
    </xf>
    <xf numFmtId="41" fontId="3" fillId="56" borderId="29" xfId="179" applyNumberFormat="1" applyFont="1" applyFill="1" applyBorder="1" applyAlignment="1" applyProtection="1">
      <alignment horizontal="center" vertical="top"/>
      <protection/>
    </xf>
    <xf numFmtId="41" fontId="3" fillId="56" borderId="39" xfId="179" applyNumberFormat="1" applyFont="1" applyFill="1" applyBorder="1" applyAlignment="1" applyProtection="1">
      <alignment horizontal="center" vertical="top"/>
      <protection/>
    </xf>
    <xf numFmtId="0" fontId="0" fillId="0" borderId="65" xfId="0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5" fontId="3" fillId="56" borderId="32" xfId="179" applyFont="1" applyFill="1" applyBorder="1" applyAlignment="1" applyProtection="1">
      <alignment wrapText="1"/>
      <protection locked="0"/>
    </xf>
    <xf numFmtId="165" fontId="3" fillId="56" borderId="0" xfId="179" applyFont="1" applyFill="1" applyBorder="1" applyAlignment="1" applyProtection="1" quotePrefix="1">
      <alignment wrapText="1"/>
      <protection locked="0"/>
    </xf>
    <xf numFmtId="165" fontId="3" fillId="56" borderId="44" xfId="179" applyFont="1" applyFill="1" applyBorder="1" applyAlignment="1" applyProtection="1">
      <alignment wrapText="1"/>
      <protection locked="0"/>
    </xf>
    <xf numFmtId="165" fontId="4" fillId="56" borderId="0" xfId="179" applyFill="1" applyBorder="1" applyProtection="1">
      <alignment/>
      <protection locked="0"/>
    </xf>
    <xf numFmtId="165" fontId="3" fillId="56" borderId="0" xfId="179" applyFont="1" applyFill="1" applyBorder="1" applyAlignment="1" applyProtection="1">
      <alignment wrapText="1"/>
      <protection locked="0"/>
    </xf>
    <xf numFmtId="165" fontId="23" fillId="56" borderId="32" xfId="179" applyFont="1" applyFill="1" applyBorder="1" applyAlignment="1" applyProtection="1">
      <alignment wrapText="1"/>
      <protection locked="0"/>
    </xf>
    <xf numFmtId="165" fontId="4" fillId="56" borderId="32" xfId="179" applyFont="1" applyFill="1" applyBorder="1" applyAlignment="1" applyProtection="1">
      <alignment vertical="top" wrapText="1"/>
      <protection locked="0"/>
    </xf>
    <xf numFmtId="165" fontId="4" fillId="56" borderId="32" xfId="179" applyFont="1" applyFill="1" applyBorder="1" applyAlignment="1" applyProtection="1">
      <alignment vertical="top"/>
      <protection/>
    </xf>
    <xf numFmtId="165" fontId="4" fillId="56" borderId="0" xfId="179" applyFont="1" applyFill="1" applyBorder="1" applyAlignment="1" applyProtection="1">
      <alignment horizontal="center" wrapText="1"/>
      <protection locked="0"/>
    </xf>
    <xf numFmtId="165" fontId="4" fillId="56" borderId="35" xfId="179" applyFont="1" applyFill="1" applyBorder="1" applyAlignment="1" applyProtection="1">
      <alignment horizontal="center" wrapText="1"/>
      <protection locked="0"/>
    </xf>
    <xf numFmtId="165" fontId="16" fillId="56" borderId="93" xfId="179" applyFont="1" applyFill="1" applyBorder="1" applyAlignment="1" applyProtection="1" quotePrefix="1">
      <alignment horizontal="right" vertical="top"/>
      <protection locked="0"/>
    </xf>
    <xf numFmtId="165" fontId="13" fillId="58" borderId="97" xfId="179" applyFont="1" applyFill="1" applyBorder="1" applyAlignment="1" applyProtection="1" quotePrefix="1">
      <alignment vertical="top"/>
      <protection locked="0"/>
    </xf>
    <xf numFmtId="165" fontId="14" fillId="58" borderId="37" xfId="179" applyFont="1" applyFill="1" applyBorder="1" applyAlignment="1" applyProtection="1">
      <alignment horizontal="left" vertical="top" wrapText="1"/>
      <protection locked="0"/>
    </xf>
    <xf numFmtId="165" fontId="14" fillId="58" borderId="95" xfId="179" applyFont="1" applyFill="1" applyBorder="1" applyAlignment="1" applyProtection="1">
      <alignment horizontal="left" vertical="top" wrapText="1"/>
      <protection locked="0"/>
    </xf>
    <xf numFmtId="166" fontId="6" fillId="56" borderId="24" xfId="180" applyFont="1" applyFill="1" applyBorder="1" applyAlignment="1" applyProtection="1">
      <alignment horizontal="left"/>
      <protection locked="0"/>
    </xf>
    <xf numFmtId="165" fontId="18" fillId="56" borderId="0" xfId="179" applyFont="1" applyFill="1" applyBorder="1" applyAlignment="1" applyProtection="1">
      <alignment horizontal="center"/>
      <protection/>
    </xf>
    <xf numFmtId="165" fontId="4" fillId="56" borderId="0" xfId="179" applyFill="1" applyBorder="1" applyAlignment="1" applyProtection="1">
      <alignment horizontal="left" vertical="top" wrapText="1"/>
      <protection/>
    </xf>
    <xf numFmtId="14" fontId="3" fillId="56" borderId="95" xfId="179" applyNumberFormat="1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0" xfId="0" applyFont="1" applyFill="1" applyBorder="1" applyAlignment="1" applyProtection="1">
      <alignment horizontal="left"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41" fontId="3" fillId="56" borderId="0" xfId="179" applyNumberFormat="1" applyFont="1" applyFill="1" applyBorder="1" applyAlignment="1" applyProtection="1">
      <alignment horizontal="left" vertical="top"/>
      <protection locked="0"/>
    </xf>
    <xf numFmtId="165" fontId="3" fillId="56" borderId="0" xfId="179" applyFont="1" applyFill="1" applyBorder="1" applyAlignment="1" applyProtection="1">
      <alignment horizontal="left"/>
      <protection/>
    </xf>
    <xf numFmtId="165" fontId="4" fillId="56" borderId="0" xfId="179" applyFill="1" applyBorder="1" applyAlignment="1" applyProtection="1">
      <alignment horizontal="left" vertical="top" wrapText="1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0" fillId="0" borderId="0" xfId="0" applyAlignment="1">
      <alignment horizontal="left"/>
    </xf>
    <xf numFmtId="40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10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4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5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56" borderId="50" xfId="0" applyFont="1" applyFill="1" applyBorder="1" applyAlignment="1" applyProtection="1">
      <alignment/>
      <protection locked="0"/>
    </xf>
    <xf numFmtId="0" fontId="0" fillId="56" borderId="22" xfId="0" applyFont="1" applyFill="1" applyBorder="1" applyAlignment="1" applyProtection="1">
      <alignment/>
      <protection locked="0"/>
    </xf>
    <xf numFmtId="0" fontId="0" fillId="56" borderId="51" xfId="0" applyFont="1" applyFill="1" applyBorder="1" applyAlignment="1" applyProtection="1">
      <alignment/>
      <protection locked="0"/>
    </xf>
    <xf numFmtId="43" fontId="0" fillId="56" borderId="0" xfId="96" applyFont="1" applyFill="1" applyAlignment="1" applyProtection="1">
      <alignment/>
      <protection/>
    </xf>
    <xf numFmtId="37" fontId="0" fillId="56" borderId="0" xfId="0" applyNumberFormat="1" applyFill="1" applyAlignment="1" applyProtection="1">
      <alignment/>
      <protection/>
    </xf>
    <xf numFmtId="43" fontId="0" fillId="56" borderId="0" xfId="96" applyFont="1" applyFill="1" applyBorder="1" applyAlignment="1" applyProtection="1">
      <alignment/>
      <protection/>
    </xf>
    <xf numFmtId="43" fontId="18" fillId="56" borderId="0" xfId="96" applyFont="1" applyFill="1" applyBorder="1" applyAlignment="1" applyProtection="1">
      <alignment/>
      <protection/>
    </xf>
    <xf numFmtId="43" fontId="18" fillId="56" borderId="0" xfId="96" applyFont="1" applyFill="1" applyBorder="1" applyAlignment="1" applyProtection="1">
      <alignment horizontal="center"/>
      <protection/>
    </xf>
    <xf numFmtId="0" fontId="84" fillId="59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84" fillId="59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84" fillId="0" borderId="0" xfId="0" applyNumberFormat="1" applyFont="1" applyFill="1" applyBorder="1" applyAlignment="1">
      <alignment/>
    </xf>
    <xf numFmtId="164" fontId="0" fillId="0" borderId="0" xfId="96" applyNumberFormat="1" applyFont="1" applyAlignment="1">
      <alignment/>
    </xf>
    <xf numFmtId="43" fontId="1" fillId="0" borderId="0" xfId="96" applyNumberFormat="1" applyFont="1" applyAlignment="1">
      <alignment/>
    </xf>
    <xf numFmtId="43" fontId="84" fillId="59" borderId="0" xfId="96" applyNumberFormat="1" applyFont="1" applyFill="1" applyBorder="1" applyAlignment="1">
      <alignment/>
    </xf>
    <xf numFmtId="43" fontId="0" fillId="0" borderId="0" xfId="96" applyNumberFormat="1" applyFont="1" applyAlignment="1">
      <alignment/>
    </xf>
    <xf numFmtId="0" fontId="0" fillId="0" borderId="0" xfId="0" applyFont="1" applyAlignment="1">
      <alignment horizontal="left" indent="1"/>
    </xf>
    <xf numFmtId="43" fontId="0" fillId="0" borderId="0" xfId="96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1" fillId="0" borderId="0" xfId="96" applyFont="1" applyBorder="1" applyAlignment="1">
      <alignment/>
    </xf>
    <xf numFmtId="43" fontId="1" fillId="0" borderId="9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3" fontId="0" fillId="0" borderId="0" xfId="96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right"/>
      <protection locked="0"/>
    </xf>
    <xf numFmtId="0" fontId="0" fillId="56" borderId="26" xfId="0" applyFont="1" applyFill="1" applyBorder="1" applyAlignment="1" applyProtection="1">
      <alignment horizontal="left"/>
      <protection locked="0"/>
    </xf>
    <xf numFmtId="37" fontId="0" fillId="56" borderId="49" xfId="96" applyNumberFormat="1" applyFont="1" applyFill="1" applyBorder="1" applyAlignment="1" applyProtection="1">
      <alignment/>
      <protection locked="0"/>
    </xf>
    <xf numFmtId="0" fontId="1" fillId="20" borderId="0" xfId="0" applyFont="1" applyFill="1" applyAlignment="1">
      <alignment/>
    </xf>
    <xf numFmtId="43" fontId="0" fillId="0" borderId="0" xfId="96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96" applyFont="1" applyBorder="1" applyAlignment="1">
      <alignment/>
    </xf>
    <xf numFmtId="43" fontId="1" fillId="0" borderId="0" xfId="0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164" fontId="0" fillId="0" borderId="28" xfId="96" applyNumberFormat="1" applyFont="1" applyBorder="1" applyAlignment="1">
      <alignment/>
    </xf>
    <xf numFmtId="164" fontId="1" fillId="0" borderId="98" xfId="96" applyNumberFormat="1" applyFont="1" applyBorder="1" applyAlignment="1">
      <alignment/>
    </xf>
    <xf numFmtId="164" fontId="0" fillId="0" borderId="28" xfId="96" applyNumberFormat="1" applyFont="1" applyFill="1" applyBorder="1" applyAlignment="1">
      <alignment/>
    </xf>
    <xf numFmtId="164" fontId="1" fillId="0" borderId="99" xfId="96" applyNumberFormat="1" applyFont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20" borderId="0" xfId="0" applyFont="1" applyFill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40" fontId="82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64" fontId="85" fillId="0" borderId="0" xfId="100" applyNumberFormat="1" applyFont="1" applyAlignment="1">
      <alignment/>
    </xf>
    <xf numFmtId="164" fontId="85" fillId="0" borderId="98" xfId="0" applyNumberFormat="1" applyFont="1" applyBorder="1" applyAlignment="1">
      <alignment/>
    </xf>
    <xf numFmtId="0" fontId="85" fillId="0" borderId="0" xfId="0" applyFont="1" applyAlignment="1">
      <alignment/>
    </xf>
    <xf numFmtId="164" fontId="1" fillId="0" borderId="28" xfId="96" applyNumberFormat="1" applyFont="1" applyBorder="1" applyAlignment="1">
      <alignment horizontal="center"/>
    </xf>
    <xf numFmtId="164" fontId="1" fillId="0" borderId="0" xfId="96" applyNumberFormat="1" applyFont="1" applyAlignment="1">
      <alignment/>
    </xf>
    <xf numFmtId="43" fontId="0" fillId="0" borderId="0" xfId="100" applyFont="1" applyBorder="1" applyAlignment="1">
      <alignment/>
    </xf>
    <xf numFmtId="0" fontId="0" fillId="0" borderId="0" xfId="0" applyFont="1" applyFill="1" applyBorder="1" applyAlignment="1">
      <alignment/>
    </xf>
    <xf numFmtId="0" fontId="59" fillId="0" borderId="0" xfId="0" applyFont="1" applyAlignment="1">
      <alignment/>
    </xf>
    <xf numFmtId="43" fontId="0" fillId="0" borderId="0" xfId="100" applyFont="1" applyAlignment="1">
      <alignment/>
    </xf>
    <xf numFmtId="0" fontId="8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164" fontId="0" fillId="0" borderId="99" xfId="96" applyNumberFormat="1" applyFont="1" applyBorder="1" applyAlignment="1">
      <alignment/>
    </xf>
    <xf numFmtId="41" fontId="51" fillId="56" borderId="29" xfId="179" applyNumberFormat="1" applyFont="1" applyFill="1" applyBorder="1" applyAlignment="1" applyProtection="1">
      <alignment vertical="top"/>
      <protection/>
    </xf>
    <xf numFmtId="41" fontId="3" fillId="56" borderId="0" xfId="179" applyNumberFormat="1" applyFont="1" applyFill="1" applyBorder="1" applyAlignment="1" applyProtection="1">
      <alignment vertical="top"/>
      <protection/>
    </xf>
    <xf numFmtId="0" fontId="0" fillId="0" borderId="0" xfId="0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65" fontId="16" fillId="56" borderId="30" xfId="179" applyFont="1" applyFill="1" applyBorder="1" applyAlignment="1" applyProtection="1">
      <alignment vertical="top"/>
      <protection/>
    </xf>
    <xf numFmtId="165" fontId="4" fillId="56" borderId="31" xfId="179" applyFill="1" applyBorder="1" applyAlignment="1" applyProtection="1">
      <alignment vertical="top"/>
      <protection/>
    </xf>
    <xf numFmtId="165" fontId="16" fillId="56" borderId="31" xfId="179" applyFont="1" applyFill="1" applyBorder="1" applyAlignment="1" applyProtection="1">
      <alignment vertical="top"/>
      <protection/>
    </xf>
    <xf numFmtId="41" fontId="51" fillId="56" borderId="31" xfId="179" applyNumberFormat="1" applyFont="1" applyFill="1" applyBorder="1" applyAlignment="1" applyProtection="1">
      <alignment vertical="top"/>
      <protection/>
    </xf>
    <xf numFmtId="41" fontId="51" fillId="56" borderId="36" xfId="179" applyNumberFormat="1" applyFont="1" applyFill="1" applyBorder="1" applyAlignment="1" applyProtection="1">
      <alignment vertical="top"/>
      <protection/>
    </xf>
    <xf numFmtId="0" fontId="1" fillId="0" borderId="3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9" fillId="2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0" borderId="0" xfId="0" applyFont="1" applyFill="1" applyAlignment="1">
      <alignment horizontal="center"/>
    </xf>
    <xf numFmtId="0" fontId="8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0" borderId="0" xfId="0" applyFont="1" applyFill="1" applyAlignment="1">
      <alignment/>
    </xf>
    <xf numFmtId="164" fontId="0" fillId="0" borderId="0" xfId="96" applyNumberFormat="1" applyFont="1" applyAlignment="1">
      <alignment/>
    </xf>
    <xf numFmtId="164" fontId="1" fillId="60" borderId="99" xfId="96" applyNumberFormat="1" applyFont="1" applyFill="1" applyBorder="1" applyAlignment="1">
      <alignment/>
    </xf>
    <xf numFmtId="0" fontId="1" fillId="60" borderId="0" xfId="0" applyFont="1" applyFill="1" applyAlignment="1">
      <alignment/>
    </xf>
    <xf numFmtId="0" fontId="0" fillId="56" borderId="5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indent="1"/>
    </xf>
    <xf numFmtId="0" fontId="0" fillId="56" borderId="49" xfId="0" applyFont="1" applyFill="1" applyBorder="1" applyAlignment="1" applyProtection="1">
      <alignment horizontal="left"/>
      <protection locked="0"/>
    </xf>
    <xf numFmtId="39" fontId="0" fillId="56" borderId="84" xfId="96" applyNumberFormat="1" applyFont="1" applyFill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 locked="0"/>
    </xf>
    <xf numFmtId="0" fontId="0" fillId="56" borderId="4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164" fontId="1" fillId="0" borderId="22" xfId="96" applyNumberFormat="1" applyFont="1" applyBorder="1" applyAlignment="1">
      <alignment/>
    </xf>
    <xf numFmtId="191" fontId="0" fillId="0" borderId="0" xfId="0" applyNumberFormat="1" applyAlignment="1">
      <alignment/>
    </xf>
    <xf numFmtId="37" fontId="1" fillId="56" borderId="92" xfId="96" applyNumberFormat="1" applyFont="1" applyFill="1" applyBorder="1" applyAlignment="1" applyProtection="1">
      <alignment/>
      <protection/>
    </xf>
    <xf numFmtId="37" fontId="1" fillId="56" borderId="84" xfId="96" applyNumberFormat="1" applyFont="1" applyFill="1" applyBorder="1" applyAlignment="1" applyProtection="1">
      <alignment/>
      <protection/>
    </xf>
    <xf numFmtId="39" fontId="1" fillId="56" borderId="85" xfId="96" applyNumberFormat="1" applyFont="1" applyFill="1" applyBorder="1" applyAlignment="1" applyProtection="1">
      <alignment/>
      <protection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164" fontId="0" fillId="0" borderId="41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 applyProtection="1" quotePrefix="1">
      <alignment horizontal="right"/>
      <protection locked="0"/>
    </xf>
    <xf numFmtId="0" fontId="0" fillId="0" borderId="77" xfId="0" applyFont="1" applyFill="1" applyBorder="1" applyAlignment="1" applyProtection="1">
      <alignment horizontal="left"/>
      <protection locked="0"/>
    </xf>
    <xf numFmtId="39" fontId="0" fillId="0" borderId="56" xfId="96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0" fillId="56" borderId="28" xfId="0" applyFont="1" applyFill="1" applyBorder="1" applyAlignment="1" applyProtection="1">
      <alignment horizontal="left"/>
      <protection locked="0"/>
    </xf>
    <xf numFmtId="0" fontId="0" fillId="56" borderId="28" xfId="0" applyFill="1" applyBorder="1" applyAlignment="1" applyProtection="1">
      <alignment/>
      <protection/>
    </xf>
    <xf numFmtId="0" fontId="0" fillId="56" borderId="42" xfId="0" applyFill="1" applyBorder="1" applyAlignment="1" applyProtection="1">
      <alignment/>
      <protection/>
    </xf>
    <xf numFmtId="43" fontId="0" fillId="0" borderId="0" xfId="96" applyFont="1" applyFill="1" applyAlignment="1" applyProtection="1">
      <alignment/>
      <protection/>
    </xf>
    <xf numFmtId="164" fontId="0" fillId="0" borderId="41" xfId="0" applyNumberFormat="1" applyFont="1" applyBorder="1" applyAlignment="1">
      <alignment/>
    </xf>
    <xf numFmtId="39" fontId="0" fillId="0" borderId="57" xfId="96" applyNumberFormat="1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 locked="0"/>
    </xf>
    <xf numFmtId="39" fontId="0" fillId="0" borderId="57" xfId="96" applyNumberFormat="1" applyFont="1" applyFill="1" applyBorder="1" applyAlignment="1" applyProtection="1">
      <alignment/>
      <protection/>
    </xf>
    <xf numFmtId="0" fontId="0" fillId="56" borderId="22" xfId="0" applyFill="1" applyBorder="1" applyAlignment="1" applyProtection="1">
      <alignment/>
      <protection/>
    </xf>
    <xf numFmtId="0" fontId="0" fillId="56" borderId="51" xfId="0" applyFill="1" applyBorder="1" applyAlignment="1" applyProtection="1">
      <alignment/>
      <protection/>
    </xf>
    <xf numFmtId="43" fontId="1" fillId="0" borderId="0" xfId="0" applyNumberFormat="1" applyFont="1" applyFill="1" applyBorder="1" applyAlignment="1">
      <alignment/>
    </xf>
    <xf numFmtId="164" fontId="0" fillId="0" borderId="0" xfId="96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7" fontId="0" fillId="56" borderId="41" xfId="99" applyNumberFormat="1" applyFont="1" applyFill="1" applyBorder="1" applyAlignment="1" applyProtection="1">
      <alignment/>
      <protection locked="0"/>
    </xf>
    <xf numFmtId="39" fontId="0" fillId="56" borderId="56" xfId="99" applyNumberFormat="1" applyFont="1" applyFill="1" applyBorder="1" applyAlignment="1" applyProtection="1">
      <alignment/>
      <protection/>
    </xf>
    <xf numFmtId="164" fontId="0" fillId="0" borderId="41" xfId="100" applyNumberFormat="1" applyFont="1" applyBorder="1" applyAlignment="1">
      <alignment/>
    </xf>
    <xf numFmtId="39" fontId="0" fillId="56" borderId="41" xfId="96" applyNumberFormat="1" applyFont="1" applyFill="1" applyBorder="1" applyAlignment="1" applyProtection="1">
      <alignment/>
      <protection/>
    </xf>
    <xf numFmtId="37" fontId="0" fillId="0" borderId="77" xfId="96" applyNumberFormat="1" applyFont="1" applyFill="1" applyBorder="1" applyAlignment="1" applyProtection="1">
      <alignment/>
      <protection locked="0"/>
    </xf>
    <xf numFmtId="0" fontId="79" fillId="0" borderId="0" xfId="0" applyFont="1" applyBorder="1" applyAlignment="1">
      <alignment/>
    </xf>
    <xf numFmtId="164" fontId="85" fillId="0" borderId="0" xfId="100" applyNumberFormat="1" applyFont="1" applyBorder="1" applyAlignment="1">
      <alignment/>
    </xf>
    <xf numFmtId="175" fontId="0" fillId="0" borderId="0" xfId="187" applyNumberFormat="1" applyFont="1" applyBorder="1" applyAlignment="1">
      <alignment/>
    </xf>
    <xf numFmtId="164" fontId="85" fillId="0" borderId="0" xfId="0" applyNumberFormat="1" applyFont="1" applyBorder="1" applyAlignment="1">
      <alignment/>
    </xf>
    <xf numFmtId="9" fontId="0" fillId="0" borderId="0" xfId="187" applyFont="1" applyBorder="1" applyAlignment="1">
      <alignment/>
    </xf>
    <xf numFmtId="0" fontId="85" fillId="0" borderId="0" xfId="0" applyFont="1" applyBorder="1" applyAlignment="1">
      <alignment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164" fontId="1" fillId="0" borderId="0" xfId="96" applyNumberFormat="1" applyFont="1" applyBorder="1" applyAlignment="1">
      <alignment/>
    </xf>
    <xf numFmtId="164" fontId="0" fillId="0" borderId="28" xfId="96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98" xfId="0" applyNumberFormat="1" applyFont="1" applyFill="1" applyBorder="1" applyAlignment="1">
      <alignment/>
    </xf>
    <xf numFmtId="0" fontId="79" fillId="0" borderId="0" xfId="0" applyFont="1" applyBorder="1" applyAlignment="1">
      <alignment horizontal="center"/>
    </xf>
    <xf numFmtId="10" fontId="1" fillId="0" borderId="0" xfId="187" applyNumberFormat="1" applyFont="1" applyBorder="1" applyAlignment="1">
      <alignment horizontal="center"/>
    </xf>
    <xf numFmtId="164" fontId="7" fillId="0" borderId="0" xfId="96" applyNumberFormat="1" applyFont="1" applyAlignment="1">
      <alignment/>
    </xf>
    <xf numFmtId="40" fontId="1" fillId="0" borderId="98" xfId="0" applyNumberFormat="1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84" fillId="59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0" fontId="79" fillId="0" borderId="10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164" fontId="1" fillId="0" borderId="22" xfId="0" applyNumberFormat="1" applyFont="1" applyBorder="1" applyAlignment="1">
      <alignment horizontal="left" indent="1"/>
    </xf>
    <xf numFmtId="164" fontId="87" fillId="0" borderId="0" xfId="0" applyNumberFormat="1" applyFont="1" applyBorder="1" applyAlignment="1">
      <alignment horizontal="left" indent="1"/>
    </xf>
    <xf numFmtId="164" fontId="1" fillId="0" borderId="98" xfId="0" applyNumberFormat="1" applyFont="1" applyBorder="1" applyAlignment="1">
      <alignment horizontal="left" indent="1"/>
    </xf>
    <xf numFmtId="164" fontId="1" fillId="0" borderId="22" xfId="0" applyNumberFormat="1" applyFont="1" applyFill="1" applyBorder="1" applyAlignment="1">
      <alignment/>
    </xf>
    <xf numFmtId="164" fontId="87" fillId="0" borderId="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5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3" fontId="0" fillId="0" borderId="41" xfId="0" applyNumberFormat="1" applyFill="1" applyBorder="1" applyAlignment="1">
      <alignment/>
    </xf>
    <xf numFmtId="164" fontId="0" fillId="0" borderId="41" xfId="100" applyNumberFormat="1" applyFont="1" applyFill="1" applyBorder="1" applyAlignment="1">
      <alignment/>
    </xf>
    <xf numFmtId="164" fontId="0" fillId="0" borderId="41" xfId="96" applyNumberFormat="1" applyFont="1" applyFill="1" applyBorder="1" applyAlignment="1">
      <alignment/>
    </xf>
    <xf numFmtId="164" fontId="0" fillId="0" borderId="41" xfId="96" applyNumberFormat="1" applyFont="1" applyFill="1" applyBorder="1" applyAlignment="1">
      <alignment/>
    </xf>
    <xf numFmtId="164" fontId="0" fillId="0" borderId="41" xfId="96" applyNumberFormat="1" applyFont="1" applyFill="1" applyBorder="1" applyAlignment="1" applyProtection="1">
      <alignment/>
      <protection locked="0"/>
    </xf>
    <xf numFmtId="164" fontId="88" fillId="0" borderId="41" xfId="0" applyNumberFormat="1" applyFont="1" applyFill="1" applyBorder="1" applyAlignment="1">
      <alignment/>
    </xf>
    <xf numFmtId="0" fontId="67" fillId="0" borderId="50" xfId="0" applyFont="1" applyFill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67" fillId="0" borderId="46" xfId="0" applyFont="1" applyFill="1" applyBorder="1" applyAlignment="1">
      <alignment/>
    </xf>
    <xf numFmtId="0" fontId="0" fillId="0" borderId="42" xfId="0" applyFont="1" applyBorder="1" applyAlignment="1" applyProtection="1">
      <alignment/>
      <protection locked="0"/>
    </xf>
    <xf numFmtId="164" fontId="67" fillId="0" borderId="41" xfId="100" applyNumberFormat="1" applyFont="1" applyFill="1" applyBorder="1" applyAlignment="1">
      <alignment/>
    </xf>
    <xf numFmtId="164" fontId="67" fillId="0" borderId="41" xfId="0" applyNumberFormat="1" applyFont="1" applyFill="1" applyBorder="1" applyAlignment="1">
      <alignment/>
    </xf>
    <xf numFmtId="164" fontId="67" fillId="0" borderId="41" xfId="0" applyNumberFormat="1" applyFont="1" applyFill="1" applyBorder="1" applyAlignment="1">
      <alignment horizontal="right"/>
    </xf>
    <xf numFmtId="0" fontId="88" fillId="0" borderId="50" xfId="0" applyFont="1" applyFill="1" applyBorder="1" applyAlignment="1">
      <alignment horizontal="left"/>
    </xf>
    <xf numFmtId="164" fontId="88" fillId="0" borderId="41" xfId="96" applyNumberFormat="1" applyFont="1" applyFill="1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39" fontId="1" fillId="0" borderId="57" xfId="96" applyNumberFormat="1" applyFont="1" applyFill="1" applyBorder="1" applyAlignment="1" applyProtection="1">
      <alignment/>
      <protection/>
    </xf>
    <xf numFmtId="164" fontId="84" fillId="0" borderId="41" xfId="100" applyNumberFormat="1" applyFont="1" applyFill="1" applyBorder="1" applyAlignment="1">
      <alignment/>
    </xf>
    <xf numFmtId="0" fontId="84" fillId="0" borderId="50" xfId="0" applyFont="1" applyFill="1" applyBorder="1" applyAlignment="1">
      <alignment/>
    </xf>
    <xf numFmtId="164" fontId="0" fillId="0" borderId="41" xfId="100" applyNumberFormat="1" applyFont="1" applyBorder="1" applyAlignment="1">
      <alignment/>
    </xf>
    <xf numFmtId="0" fontId="0" fillId="56" borderId="28" xfId="0" applyFont="1" applyFill="1" applyBorder="1" applyAlignment="1" applyProtection="1">
      <alignment/>
      <protection locked="0"/>
    </xf>
    <xf numFmtId="0" fontId="0" fillId="56" borderId="42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right"/>
      <protection/>
    </xf>
    <xf numFmtId="164" fontId="53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176" fontId="1" fillId="0" borderId="0" xfId="187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164" fontId="7" fillId="0" borderId="0" xfId="96" applyNumberFormat="1" applyFont="1" applyFill="1" applyAlignment="1">
      <alignment/>
    </xf>
    <xf numFmtId="164" fontId="1" fillId="0" borderId="98" xfId="96" applyNumberFormat="1" applyFont="1" applyFill="1" applyBorder="1" applyAlignment="1">
      <alignment/>
    </xf>
    <xf numFmtId="164" fontId="1" fillId="0" borderId="99" xfId="96" applyNumberFormat="1" applyFont="1" applyFill="1" applyBorder="1" applyAlignment="1">
      <alignment/>
    </xf>
    <xf numFmtId="164" fontId="0" fillId="0" borderId="0" xfId="96" applyNumberFormat="1" applyFont="1" applyFill="1" applyAlignment="1">
      <alignment/>
    </xf>
    <xf numFmtId="164" fontId="0" fillId="0" borderId="0" xfId="96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4" fontId="1" fillId="0" borderId="99" xfId="0" applyNumberFormat="1" applyFont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0" fillId="0" borderId="29" xfId="0" applyBorder="1" applyAlignment="1">
      <alignment horizontal="left"/>
    </xf>
    <xf numFmtId="164" fontId="0" fillId="0" borderId="29" xfId="0" applyNumberFormat="1" applyBorder="1" applyAlignment="1">
      <alignment/>
    </xf>
    <xf numFmtId="0" fontId="67" fillId="0" borderId="29" xfId="0" applyFont="1" applyBorder="1" applyAlignment="1">
      <alignment horizontal="left"/>
    </xf>
    <xf numFmtId="0" fontId="67" fillId="0" borderId="29" xfId="0" applyFont="1" applyFill="1" applyBorder="1" applyAlignment="1">
      <alignment horizontal="left"/>
    </xf>
    <xf numFmtId="164" fontId="0" fillId="0" borderId="29" xfId="0" applyNumberFormat="1" applyFont="1" applyBorder="1" applyAlignment="1">
      <alignment/>
    </xf>
    <xf numFmtId="164" fontId="0" fillId="0" borderId="29" xfId="0" applyNumberFormat="1" applyFill="1" applyBorder="1" applyAlignment="1">
      <alignment/>
    </xf>
    <xf numFmtId="0" fontId="88" fillId="0" borderId="29" xfId="0" applyFont="1" applyFill="1" applyBorder="1" applyAlignment="1">
      <alignment horizontal="left"/>
    </xf>
    <xf numFmtId="0" fontId="0" fillId="0" borderId="96" xfId="0" applyBorder="1" applyAlignment="1">
      <alignment horizontal="left"/>
    </xf>
    <xf numFmtId="0" fontId="88" fillId="0" borderId="37" xfId="0" applyFont="1" applyFill="1" applyBorder="1" applyAlignment="1">
      <alignment horizontal="left"/>
    </xf>
    <xf numFmtId="164" fontId="0" fillId="0" borderId="37" xfId="0" applyNumberFormat="1" applyBorder="1" applyAlignment="1">
      <alignment/>
    </xf>
    <xf numFmtId="164" fontId="1" fillId="0" borderId="29" xfId="96" applyNumberFormat="1" applyFont="1" applyFill="1" applyBorder="1" applyAlignment="1">
      <alignment/>
    </xf>
    <xf numFmtId="0" fontId="0" fillId="0" borderId="37" xfId="0" applyBorder="1" applyAlignment="1">
      <alignment horizontal="left"/>
    </xf>
    <xf numFmtId="164" fontId="0" fillId="0" borderId="96" xfId="0" applyNumberFormat="1" applyFill="1" applyBorder="1" applyAlignment="1">
      <alignment/>
    </xf>
    <xf numFmtId="175" fontId="1" fillId="0" borderId="0" xfId="187" applyNumberFormat="1" applyFont="1" applyAlignment="1">
      <alignment horizontal="center"/>
    </xf>
    <xf numFmtId="9" fontId="1" fillId="0" borderId="98" xfId="187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37" xfId="0" applyNumberFormat="1" applyFill="1" applyBorder="1" applyAlignment="1">
      <alignment/>
    </xf>
    <xf numFmtId="43" fontId="0" fillId="0" borderId="0" xfId="96" applyNumberFormat="1" applyFont="1" applyAlignment="1">
      <alignment/>
    </xf>
    <xf numFmtId="164" fontId="0" fillId="0" borderId="41" xfId="0" applyNumberFormat="1" applyFill="1" applyBorder="1" applyAlignment="1">
      <alignment/>
    </xf>
    <xf numFmtId="165" fontId="20" fillId="56" borderId="40" xfId="179" applyFont="1" applyFill="1" applyBorder="1" applyAlignment="1" applyProtection="1">
      <alignment horizontal="center"/>
      <protection/>
    </xf>
    <xf numFmtId="165" fontId="20" fillId="56" borderId="63" xfId="179" applyFont="1" applyFill="1" applyBorder="1" applyAlignment="1" applyProtection="1">
      <alignment horizontal="center"/>
      <protection/>
    </xf>
    <xf numFmtId="165" fontId="16" fillId="56" borderId="30" xfId="179" applyFont="1" applyFill="1" applyBorder="1" applyAlignment="1" applyProtection="1">
      <alignment horizontal="center" vertical="top"/>
      <protection locked="0"/>
    </xf>
    <xf numFmtId="165" fontId="16" fillId="56" borderId="31" xfId="179" applyFont="1" applyFill="1" applyBorder="1" applyAlignment="1" applyProtection="1">
      <alignment horizontal="center" vertical="top"/>
      <protection locked="0"/>
    </xf>
    <xf numFmtId="165" fontId="16" fillId="56" borderId="36" xfId="179" applyFont="1" applyFill="1" applyBorder="1" applyAlignment="1" applyProtection="1">
      <alignment horizontal="center" vertical="top"/>
      <protection locked="0"/>
    </xf>
    <xf numFmtId="165" fontId="16" fillId="56" borderId="38" xfId="179" applyFont="1" applyFill="1" applyBorder="1" applyAlignment="1" applyProtection="1">
      <alignment horizontal="center" vertical="top"/>
      <protection locked="0"/>
    </xf>
    <xf numFmtId="165" fontId="16" fillId="56" borderId="29" xfId="179" applyFont="1" applyFill="1" applyBorder="1" applyAlignment="1" applyProtection="1">
      <alignment horizontal="center" vertical="top"/>
      <protection locked="0"/>
    </xf>
    <xf numFmtId="165" fontId="16" fillId="56" borderId="39" xfId="179" applyFont="1" applyFill="1" applyBorder="1" applyAlignment="1" applyProtection="1">
      <alignment horizontal="center" vertical="top"/>
      <protection locked="0"/>
    </xf>
    <xf numFmtId="165" fontId="16" fillId="52" borderId="101" xfId="179" applyFont="1" applyFill="1" applyBorder="1" applyAlignment="1" applyProtection="1">
      <alignment horizontal="center"/>
      <protection/>
    </xf>
    <xf numFmtId="165" fontId="16" fillId="52" borderId="102" xfId="179" applyFont="1" applyFill="1" applyBorder="1" applyAlignment="1" applyProtection="1">
      <alignment horizontal="center"/>
      <protection/>
    </xf>
    <xf numFmtId="165" fontId="16" fillId="52" borderId="103" xfId="179" applyFont="1" applyFill="1" applyBorder="1" applyAlignment="1" applyProtection="1">
      <alignment horizontal="center"/>
      <protection/>
    </xf>
    <xf numFmtId="165" fontId="16" fillId="56" borderId="93" xfId="179" applyFont="1" applyFill="1" applyBorder="1" applyAlignment="1" applyProtection="1">
      <alignment horizontal="center"/>
      <protection/>
    </xf>
    <xf numFmtId="165" fontId="16" fillId="56" borderId="96" xfId="179" applyFont="1" applyFill="1" applyBorder="1" applyAlignment="1" applyProtection="1">
      <alignment horizontal="center"/>
      <protection/>
    </xf>
    <xf numFmtId="165" fontId="16" fillId="56" borderId="104" xfId="179" applyFont="1" applyFill="1" applyBorder="1" applyAlignment="1" applyProtection="1">
      <alignment horizontal="center"/>
      <protection/>
    </xf>
    <xf numFmtId="165" fontId="16" fillId="52" borderId="105" xfId="179" applyFont="1" applyFill="1" applyBorder="1" applyAlignment="1" applyProtection="1">
      <alignment horizontal="center"/>
      <protection/>
    </xf>
    <xf numFmtId="165" fontId="16" fillId="52" borderId="106" xfId="179" applyFont="1" applyFill="1" applyBorder="1" applyAlignment="1" applyProtection="1">
      <alignment horizontal="center"/>
      <protection/>
    </xf>
    <xf numFmtId="14" fontId="16" fillId="56" borderId="93" xfId="179" applyNumberFormat="1" applyFont="1" applyFill="1" applyBorder="1" applyAlignment="1" applyProtection="1">
      <alignment horizontal="center"/>
      <protection/>
    </xf>
    <xf numFmtId="14" fontId="16" fillId="56" borderId="96" xfId="179" applyNumberFormat="1" applyFont="1" applyFill="1" applyBorder="1" applyAlignment="1" applyProtection="1">
      <alignment horizontal="center"/>
      <protection/>
    </xf>
    <xf numFmtId="14" fontId="16" fillId="56" borderId="104" xfId="179" applyNumberFormat="1" applyFont="1" applyFill="1" applyBorder="1" applyAlignment="1" applyProtection="1">
      <alignment horizontal="center"/>
      <protection/>
    </xf>
    <xf numFmtId="165" fontId="16" fillId="56" borderId="30" xfId="179" applyFont="1" applyFill="1" applyBorder="1" applyAlignment="1" applyProtection="1">
      <alignment horizontal="left" vertical="top"/>
      <protection/>
    </xf>
    <xf numFmtId="165" fontId="16" fillId="56" borderId="31" xfId="179" applyFont="1" applyFill="1" applyBorder="1" applyAlignment="1" applyProtection="1">
      <alignment horizontal="left" vertical="top"/>
      <protection/>
    </xf>
    <xf numFmtId="165" fontId="16" fillId="56" borderId="36" xfId="179" applyFont="1" applyFill="1" applyBorder="1" applyAlignment="1" applyProtection="1">
      <alignment horizontal="left" vertical="top"/>
      <protection/>
    </xf>
    <xf numFmtId="165" fontId="16" fillId="56" borderId="38" xfId="179" applyFont="1" applyFill="1" applyBorder="1" applyAlignment="1" applyProtection="1">
      <alignment horizontal="left" vertical="top"/>
      <protection/>
    </xf>
    <xf numFmtId="165" fontId="16" fillId="56" borderId="29" xfId="179" applyFont="1" applyFill="1" applyBorder="1" applyAlignment="1" applyProtection="1">
      <alignment horizontal="left" vertical="top"/>
      <protection/>
    </xf>
    <xf numFmtId="165" fontId="16" fillId="56" borderId="39" xfId="179" applyFont="1" applyFill="1" applyBorder="1" applyAlignment="1" applyProtection="1">
      <alignment horizontal="left" vertical="top"/>
      <protection/>
    </xf>
    <xf numFmtId="165" fontId="16" fillId="56" borderId="32" xfId="179" applyFont="1" applyFill="1" applyBorder="1" applyAlignment="1" applyProtection="1">
      <alignment horizontal="left" vertical="top" wrapText="1"/>
      <protection/>
    </xf>
    <xf numFmtId="165" fontId="16" fillId="56" borderId="0" xfId="179" applyFont="1" applyFill="1" applyBorder="1" applyAlignment="1" applyProtection="1">
      <alignment horizontal="left" vertical="top" wrapText="1"/>
      <protection/>
    </xf>
    <xf numFmtId="165" fontId="16" fillId="56" borderId="35" xfId="179" applyFont="1" applyFill="1" applyBorder="1" applyAlignment="1" applyProtection="1">
      <alignment horizontal="left" vertical="top" wrapText="1"/>
      <protection/>
    </xf>
    <xf numFmtId="165" fontId="16" fillId="56" borderId="32" xfId="179" applyFont="1" applyFill="1" applyBorder="1" applyAlignment="1" applyProtection="1">
      <alignment horizontal="left" vertical="top"/>
      <protection locked="0"/>
    </xf>
    <xf numFmtId="165" fontId="16" fillId="56" borderId="0" xfId="179" applyFont="1" applyFill="1" applyBorder="1" applyAlignment="1" applyProtection="1">
      <alignment horizontal="left" vertical="top"/>
      <protection locked="0"/>
    </xf>
    <xf numFmtId="165" fontId="16" fillId="56" borderId="35" xfId="179" applyFont="1" applyFill="1" applyBorder="1" applyAlignment="1" applyProtection="1">
      <alignment horizontal="left" vertical="top"/>
      <protection locked="0"/>
    </xf>
    <xf numFmtId="165" fontId="13" fillId="56" borderId="28" xfId="179" applyFont="1" applyFill="1" applyBorder="1" applyAlignment="1" applyProtection="1" quotePrefix="1">
      <alignment horizontal="center"/>
      <protection/>
    </xf>
    <xf numFmtId="165" fontId="13" fillId="56" borderId="28" xfId="179" applyFont="1" applyFill="1" applyBorder="1" applyAlignment="1" applyProtection="1">
      <alignment horizontal="center"/>
      <protection/>
    </xf>
    <xf numFmtId="165" fontId="13" fillId="56" borderId="107" xfId="179" applyFont="1" applyFill="1" applyBorder="1" applyAlignment="1" applyProtection="1">
      <alignment horizontal="center"/>
      <protection/>
    </xf>
    <xf numFmtId="165" fontId="15" fillId="56" borderId="0" xfId="179" applyFont="1" applyFill="1" applyBorder="1" applyAlignment="1" applyProtection="1">
      <alignment horizontal="center"/>
      <protection/>
    </xf>
    <xf numFmtId="165" fontId="16" fillId="56" borderId="28" xfId="179" applyFont="1" applyFill="1" applyBorder="1" applyAlignment="1" applyProtection="1" quotePrefix="1">
      <alignment horizontal="center"/>
      <protection/>
    </xf>
    <xf numFmtId="165" fontId="16" fillId="56" borderId="34" xfId="179" applyFont="1" applyFill="1" applyBorder="1" applyAlignment="1" applyProtection="1" quotePrefix="1">
      <alignment horizontal="center"/>
      <protection/>
    </xf>
    <xf numFmtId="165" fontId="16" fillId="56" borderId="28" xfId="179" applyFont="1" applyFill="1" applyBorder="1" applyAlignment="1" applyProtection="1">
      <alignment horizontal="center"/>
      <protection/>
    </xf>
    <xf numFmtId="165" fontId="16" fillId="56" borderId="107" xfId="179" applyFont="1" applyFill="1" applyBorder="1" applyAlignment="1" applyProtection="1">
      <alignment horizontal="center"/>
      <protection/>
    </xf>
    <xf numFmtId="165" fontId="16" fillId="56" borderId="28" xfId="179" applyFont="1" applyFill="1" applyBorder="1" applyAlignment="1" applyProtection="1">
      <alignment horizontal="left"/>
      <protection locked="0"/>
    </xf>
    <xf numFmtId="165" fontId="16" fillId="56" borderId="34" xfId="179" applyFont="1" applyFill="1" applyBorder="1" applyAlignment="1" applyProtection="1">
      <alignment horizontal="left"/>
      <protection locked="0"/>
    </xf>
    <xf numFmtId="165" fontId="3" fillId="56" borderId="0" xfId="179" applyFont="1" applyFill="1" applyBorder="1" applyAlignment="1" applyProtection="1">
      <alignment/>
      <protection/>
    </xf>
    <xf numFmtId="165" fontId="17" fillId="56" borderId="0" xfId="179" applyFont="1" applyFill="1" applyBorder="1" applyAlignment="1" applyProtection="1">
      <alignment horizontal="center"/>
      <protection/>
    </xf>
    <xf numFmtId="165" fontId="16" fillId="56" borderId="37" xfId="179" applyFont="1" applyFill="1" applyBorder="1" applyAlignment="1" applyProtection="1">
      <alignment horizontal="left"/>
      <protection locked="0"/>
    </xf>
    <xf numFmtId="165" fontId="16" fillId="56" borderId="95" xfId="179" applyFont="1" applyFill="1" applyBorder="1" applyAlignment="1" applyProtection="1">
      <alignment horizontal="left"/>
      <protection locked="0"/>
    </xf>
    <xf numFmtId="165" fontId="16" fillId="56" borderId="32" xfId="179" applyFont="1" applyFill="1" applyBorder="1" applyAlignment="1" applyProtection="1">
      <alignment horizontal="left" wrapText="1"/>
      <protection locked="0"/>
    </xf>
    <xf numFmtId="165" fontId="16" fillId="56" borderId="0" xfId="179" applyFont="1" applyFill="1" applyBorder="1" applyAlignment="1" applyProtection="1">
      <alignment horizontal="left" wrapText="1"/>
      <protection locked="0"/>
    </xf>
    <xf numFmtId="165" fontId="16" fillId="56" borderId="35" xfId="179" applyFont="1" applyFill="1" applyBorder="1" applyAlignment="1" applyProtection="1">
      <alignment horizontal="left" wrapText="1"/>
      <protection locked="0"/>
    </xf>
    <xf numFmtId="165" fontId="16" fillId="56" borderId="38" xfId="179" applyFont="1" applyFill="1" applyBorder="1" applyAlignment="1" applyProtection="1">
      <alignment horizontal="left" wrapText="1"/>
      <protection locked="0"/>
    </xf>
    <xf numFmtId="165" fontId="16" fillId="56" borderId="29" xfId="179" applyFont="1" applyFill="1" applyBorder="1" applyAlignment="1" applyProtection="1">
      <alignment horizontal="left" wrapText="1"/>
      <protection locked="0"/>
    </xf>
    <xf numFmtId="165" fontId="16" fillId="56" borderId="39" xfId="179" applyFont="1" applyFill="1" applyBorder="1" applyAlignment="1" applyProtection="1">
      <alignment horizontal="left" wrapText="1"/>
      <protection locked="0"/>
    </xf>
    <xf numFmtId="165" fontId="16" fillId="56" borderId="32" xfId="179" applyFont="1" applyFill="1" applyBorder="1" applyAlignment="1" applyProtection="1" quotePrefix="1">
      <alignment horizontal="center"/>
      <protection/>
    </xf>
    <xf numFmtId="165" fontId="16" fillId="56" borderId="0" xfId="179" applyFont="1" applyFill="1" applyBorder="1" applyAlignment="1" applyProtection="1" quotePrefix="1">
      <alignment horizontal="center"/>
      <protection/>
    </xf>
    <xf numFmtId="165" fontId="16" fillId="56" borderId="35" xfId="179" applyFont="1" applyFill="1" applyBorder="1" applyAlignment="1" applyProtection="1" quotePrefix="1">
      <alignment horizontal="center"/>
      <protection/>
    </xf>
    <xf numFmtId="165" fontId="14" fillId="56" borderId="72" xfId="179" applyFont="1" applyFill="1" applyBorder="1" applyAlignment="1" applyProtection="1">
      <alignment vertical="center" wrapText="1"/>
      <protection locked="0"/>
    </xf>
    <xf numFmtId="165" fontId="14" fillId="56" borderId="90" xfId="179" applyFont="1" applyFill="1" applyBorder="1" applyAlignment="1" applyProtection="1">
      <alignment vertical="center" wrapText="1"/>
      <protection locked="0"/>
    </xf>
    <xf numFmtId="165" fontId="3" fillId="52" borderId="46" xfId="179" applyFont="1" applyFill="1" applyBorder="1" applyAlignment="1" applyProtection="1">
      <alignment horizontal="center"/>
      <protection/>
    </xf>
    <xf numFmtId="165" fontId="3" fillId="52" borderId="28" xfId="179" applyFont="1" applyFill="1" applyBorder="1" applyAlignment="1" applyProtection="1">
      <alignment horizontal="center"/>
      <protection/>
    </xf>
    <xf numFmtId="165" fontId="3" fillId="52" borderId="42" xfId="179" applyFont="1" applyFill="1" applyBorder="1" applyAlignment="1" applyProtection="1">
      <alignment horizontal="center"/>
      <protection/>
    </xf>
    <xf numFmtId="165" fontId="3" fillId="58" borderId="46" xfId="179" applyFont="1" applyFill="1" applyBorder="1" applyAlignment="1" applyProtection="1">
      <alignment horizontal="center" wrapText="1"/>
      <protection/>
    </xf>
    <xf numFmtId="165" fontId="3" fillId="58" borderId="28" xfId="179" applyFont="1" applyFill="1" applyBorder="1" applyAlignment="1" applyProtection="1">
      <alignment horizontal="center" wrapText="1"/>
      <protection/>
    </xf>
    <xf numFmtId="165" fontId="3" fillId="58" borderId="42" xfId="179" applyFont="1" applyFill="1" applyBorder="1" applyAlignment="1" applyProtection="1">
      <alignment horizontal="center" wrapText="1"/>
      <protection/>
    </xf>
    <xf numFmtId="165" fontId="3" fillId="52" borderId="60" xfId="179" applyFont="1" applyFill="1" applyBorder="1" applyAlignment="1" applyProtection="1">
      <alignment horizontal="center"/>
      <protection/>
    </xf>
    <xf numFmtId="165" fontId="14" fillId="56" borderId="41" xfId="179" applyFont="1" applyFill="1" applyBorder="1" applyAlignment="1" applyProtection="1">
      <alignment horizontal="center" wrapText="1"/>
      <protection/>
    </xf>
    <xf numFmtId="165" fontId="14" fillId="56" borderId="50" xfId="179" applyFont="1" applyFill="1" applyBorder="1" applyAlignment="1" applyProtection="1">
      <alignment horizontal="center" wrapText="1"/>
      <protection/>
    </xf>
    <xf numFmtId="165" fontId="14" fillId="56" borderId="22" xfId="179" applyFont="1" applyFill="1" applyBorder="1" applyAlignment="1" applyProtection="1">
      <alignment horizontal="center" wrapText="1"/>
      <protection/>
    </xf>
    <xf numFmtId="165" fontId="14" fillId="56" borderId="51" xfId="179" applyFont="1" applyFill="1" applyBorder="1" applyAlignment="1" applyProtection="1">
      <alignment horizontal="center" wrapText="1"/>
      <protection/>
    </xf>
    <xf numFmtId="165" fontId="14" fillId="56" borderId="58" xfId="179" applyFont="1" applyFill="1" applyBorder="1" applyAlignment="1" applyProtection="1">
      <alignment horizontal="center"/>
      <protection locked="0"/>
    </xf>
    <xf numFmtId="165" fontId="14" fillId="56" borderId="41" xfId="179" applyFont="1" applyFill="1" applyBorder="1" applyAlignment="1" applyProtection="1">
      <alignment horizontal="center"/>
      <protection locked="0"/>
    </xf>
    <xf numFmtId="165" fontId="18" fillId="56" borderId="0" xfId="179" applyFont="1" applyFill="1" applyBorder="1" applyAlignment="1" applyProtection="1">
      <alignment horizontal="center"/>
      <protection/>
    </xf>
    <xf numFmtId="165" fontId="14" fillId="56" borderId="41" xfId="179" applyFont="1" applyFill="1" applyBorder="1" applyAlignment="1" applyProtection="1" quotePrefix="1">
      <alignment horizontal="center" wrapText="1"/>
      <protection/>
    </xf>
    <xf numFmtId="165" fontId="14" fillId="56" borderId="57" xfId="179" applyFont="1" applyFill="1" applyBorder="1" applyAlignment="1" applyProtection="1">
      <alignment horizontal="center" wrapText="1"/>
      <protection/>
    </xf>
    <xf numFmtId="165" fontId="14" fillId="56" borderId="61" xfId="179" applyFont="1" applyFill="1" applyBorder="1" applyAlignment="1" applyProtection="1">
      <alignment horizontal="center"/>
      <protection/>
    </xf>
    <xf numFmtId="165" fontId="14" fillId="56" borderId="22" xfId="179" applyFont="1" applyFill="1" applyBorder="1" applyAlignment="1" applyProtection="1">
      <alignment horizontal="center"/>
      <protection/>
    </xf>
    <xf numFmtId="165" fontId="14" fillId="56" borderId="51" xfId="179" applyFont="1" applyFill="1" applyBorder="1" applyAlignment="1" applyProtection="1">
      <alignment horizontal="center"/>
      <protection/>
    </xf>
    <xf numFmtId="165" fontId="14" fillId="56" borderId="61" xfId="179" applyFont="1" applyFill="1" applyBorder="1" applyAlignment="1" applyProtection="1">
      <alignment horizontal="center" wrapText="1"/>
      <protection/>
    </xf>
    <xf numFmtId="14" fontId="3" fillId="56" borderId="37" xfId="179" applyNumberFormat="1" applyFont="1" applyFill="1" applyBorder="1" applyAlignment="1" applyProtection="1">
      <alignment horizontal="center"/>
      <protection/>
    </xf>
    <xf numFmtId="41" fontId="3" fillId="56" borderId="29" xfId="179" applyNumberFormat="1" applyFont="1" applyFill="1" applyBorder="1" applyAlignment="1" applyProtection="1">
      <alignment horizontal="left" vertical="top"/>
      <protection/>
    </xf>
    <xf numFmtId="41" fontId="3" fillId="56" borderId="39" xfId="179" applyNumberFormat="1" applyFont="1" applyFill="1" applyBorder="1" applyAlignment="1" applyProtection="1">
      <alignment horizontal="left" vertical="top"/>
      <protection/>
    </xf>
    <xf numFmtId="165" fontId="14" fillId="56" borderId="96" xfId="179" applyFont="1" applyFill="1" applyBorder="1" applyAlignment="1" applyProtection="1">
      <alignment horizontal="left" vertical="top" wrapText="1"/>
      <protection/>
    </xf>
    <xf numFmtId="165" fontId="14" fillId="56" borderId="104" xfId="179" applyFont="1" applyFill="1" applyBorder="1" applyAlignment="1" applyProtection="1">
      <alignment horizontal="left" vertical="top" wrapText="1"/>
      <protection/>
    </xf>
    <xf numFmtId="165" fontId="3" fillId="58" borderId="0" xfId="179" applyFont="1" applyFill="1" applyBorder="1" applyAlignment="1" applyProtection="1">
      <alignment horizontal="center"/>
      <protection/>
    </xf>
    <xf numFmtId="165" fontId="3" fillId="52" borderId="35" xfId="179" applyFont="1" applyFill="1" applyBorder="1" applyAlignment="1" applyProtection="1">
      <alignment horizontal="center"/>
      <protection/>
    </xf>
    <xf numFmtId="165" fontId="4" fillId="56" borderId="0" xfId="179" applyFill="1" applyBorder="1" applyAlignment="1" applyProtection="1">
      <alignment horizontal="left" vertical="top" wrapText="1"/>
      <protection/>
    </xf>
    <xf numFmtId="165" fontId="14" fillId="58" borderId="78" xfId="179" applyFont="1" applyFill="1" applyBorder="1" applyAlignment="1" applyProtection="1">
      <alignment horizontal="center" wrapText="1"/>
      <protection locked="0"/>
    </xf>
    <xf numFmtId="165" fontId="14" fillId="58" borderId="88" xfId="179" applyFont="1" applyFill="1" applyBorder="1" applyAlignment="1" applyProtection="1">
      <alignment horizontal="center" wrapText="1"/>
      <protection locked="0"/>
    </xf>
    <xf numFmtId="165" fontId="14" fillId="56" borderId="96" xfId="179" applyFont="1" applyFill="1" applyBorder="1" applyAlignment="1" applyProtection="1">
      <alignment horizontal="left" vertical="top" wrapText="1"/>
      <protection locked="0"/>
    </xf>
    <xf numFmtId="165" fontId="14" fillId="56" borderId="104" xfId="179" applyFont="1" applyFill="1" applyBorder="1" applyAlignment="1" applyProtection="1">
      <alignment horizontal="left" vertical="top" wrapText="1"/>
      <protection locked="0"/>
    </xf>
    <xf numFmtId="165" fontId="14" fillId="56" borderId="41" xfId="179" applyFont="1" applyFill="1" applyBorder="1" applyAlignment="1" applyProtection="1">
      <alignment horizontal="center" wrapText="1"/>
      <protection locked="0"/>
    </xf>
    <xf numFmtId="165" fontId="14" fillId="56" borderId="57" xfId="179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6" fontId="6" fillId="56" borderId="24" xfId="180" applyFont="1" applyFill="1" applyBorder="1" applyAlignment="1" applyProtection="1">
      <alignment horizontal="left"/>
      <protection/>
    </xf>
    <xf numFmtId="166" fontId="6" fillId="56" borderId="44" xfId="180" applyFont="1" applyFill="1" applyBorder="1" applyAlignment="1" applyProtection="1">
      <alignment horizontal="left"/>
      <protection/>
    </xf>
    <xf numFmtId="14" fontId="3" fillId="56" borderId="95" xfId="179" applyNumberFormat="1" applyFont="1" applyFill="1" applyBorder="1" applyAlignment="1" applyProtection="1">
      <alignment horizontal="center"/>
      <protection/>
    </xf>
    <xf numFmtId="166" fontId="6" fillId="56" borderId="25" xfId="180" applyFont="1" applyFill="1" applyBorder="1" applyAlignment="1" applyProtection="1">
      <alignment horizontal="left"/>
      <protection/>
    </xf>
    <xf numFmtId="166" fontId="6" fillId="56" borderId="49" xfId="180" applyFont="1" applyFill="1" applyBorder="1" applyAlignment="1" applyProtection="1">
      <alignment horizontal="left"/>
      <protection/>
    </xf>
    <xf numFmtId="166" fontId="5" fillId="52" borderId="50" xfId="180" applyFont="1" applyFill="1" applyBorder="1" applyAlignment="1" applyProtection="1">
      <alignment horizontal="left"/>
      <protection/>
    </xf>
    <xf numFmtId="166" fontId="5" fillId="52" borderId="22" xfId="180" applyFont="1" applyFill="1" applyBorder="1" applyAlignment="1" applyProtection="1">
      <alignment horizontal="left"/>
      <protection/>
    </xf>
    <xf numFmtId="166" fontId="16" fillId="52" borderId="32" xfId="180" applyFont="1" applyFill="1" applyBorder="1" applyAlignment="1" applyProtection="1">
      <alignment horizontal="center"/>
      <protection/>
    </xf>
    <xf numFmtId="166" fontId="16" fillId="52" borderId="0" xfId="180" applyFont="1" applyFill="1" applyBorder="1" applyAlignment="1" applyProtection="1">
      <alignment horizontal="center"/>
      <protection/>
    </xf>
    <xf numFmtId="166" fontId="16" fillId="52" borderId="35" xfId="180" applyFont="1" applyFill="1" applyBorder="1" applyAlignment="1" applyProtection="1">
      <alignment horizontal="center"/>
      <protection/>
    </xf>
    <xf numFmtId="166" fontId="16" fillId="52" borderId="38" xfId="180" applyFont="1" applyFill="1" applyBorder="1" applyAlignment="1" applyProtection="1">
      <alignment horizontal="center"/>
      <protection/>
    </xf>
    <xf numFmtId="166" fontId="16" fillId="52" borderId="29" xfId="180" applyFont="1" applyFill="1" applyBorder="1" applyAlignment="1" applyProtection="1">
      <alignment horizontal="center"/>
      <protection/>
    </xf>
    <xf numFmtId="166" fontId="16" fillId="52" borderId="39" xfId="180" applyFont="1" applyFill="1" applyBorder="1" applyAlignment="1" applyProtection="1">
      <alignment horizontal="center"/>
      <protection/>
    </xf>
    <xf numFmtId="166" fontId="5" fillId="54" borderId="108" xfId="180" applyFont="1" applyFill="1" applyBorder="1" applyAlignment="1" applyProtection="1">
      <alignment horizontal="left"/>
      <protection/>
    </xf>
    <xf numFmtId="166" fontId="5" fillId="54" borderId="107" xfId="180" applyFont="1" applyFill="1" applyBorder="1" applyAlignment="1" applyProtection="1">
      <alignment horizontal="left"/>
      <protection/>
    </xf>
    <xf numFmtId="166" fontId="23" fillId="52" borderId="22" xfId="180" applyFont="1" applyFill="1" applyBorder="1" applyAlignment="1" applyProtection="1">
      <alignment horizontal="center"/>
      <protection/>
    </xf>
    <xf numFmtId="166" fontId="3" fillId="52" borderId="28" xfId="180" applyFont="1" applyFill="1" applyBorder="1" applyAlignment="1" applyProtection="1">
      <alignment horizontal="center"/>
      <protection/>
    </xf>
    <xf numFmtId="166" fontId="24" fillId="56" borderId="30" xfId="180" applyFont="1" applyFill="1" applyBorder="1" applyAlignment="1" applyProtection="1">
      <alignment horizontal="center"/>
      <protection/>
    </xf>
    <xf numFmtId="166" fontId="24" fillId="56" borderId="31" xfId="180" applyFont="1" applyFill="1" applyBorder="1" applyAlignment="1" applyProtection="1">
      <alignment horizontal="center"/>
      <protection/>
    </xf>
    <xf numFmtId="166" fontId="24" fillId="56" borderId="36" xfId="180" applyFont="1" applyFill="1" applyBorder="1" applyAlignment="1" applyProtection="1">
      <alignment horizontal="center"/>
      <protection/>
    </xf>
    <xf numFmtId="165" fontId="3" fillId="56" borderId="29" xfId="179" applyFont="1" applyFill="1" applyBorder="1" applyAlignment="1" applyProtection="1">
      <alignment horizontal="left" vertical="top"/>
      <protection/>
    </xf>
    <xf numFmtId="166" fontId="3" fillId="52" borderId="84" xfId="180" applyFont="1" applyFill="1" applyBorder="1" applyAlignment="1" applyProtection="1">
      <alignment horizontal="center"/>
      <protection/>
    </xf>
    <xf numFmtId="166" fontId="3" fillId="52" borderId="109" xfId="180" applyFont="1" applyFill="1" applyBorder="1" applyAlignment="1" applyProtection="1">
      <alignment horizontal="center"/>
      <protection/>
    </xf>
    <xf numFmtId="166" fontId="3" fillId="52" borderId="92" xfId="180" applyFont="1" applyFill="1" applyBorder="1" applyAlignment="1" applyProtection="1">
      <alignment horizontal="center"/>
      <protection/>
    </xf>
    <xf numFmtId="166" fontId="6" fillId="56" borderId="0" xfId="180" applyFont="1" applyFill="1" applyBorder="1" applyAlignment="1" applyProtection="1">
      <alignment horizontal="left"/>
      <protection/>
    </xf>
    <xf numFmtId="166" fontId="3" fillId="0" borderId="0" xfId="180" applyFont="1" applyFill="1" applyBorder="1" applyAlignment="1" applyProtection="1">
      <alignment horizontal="center"/>
      <protection/>
    </xf>
    <xf numFmtId="165" fontId="3" fillId="52" borderId="93" xfId="179" applyFont="1" applyFill="1" applyBorder="1" applyAlignment="1" applyProtection="1">
      <alignment horizontal="center"/>
      <protection/>
    </xf>
    <xf numFmtId="165" fontId="3" fillId="52" borderId="96" xfId="179" applyFont="1" applyFill="1" applyBorder="1" applyAlignment="1" applyProtection="1">
      <alignment horizontal="center"/>
      <protection/>
    </xf>
    <xf numFmtId="165" fontId="3" fillId="52" borderId="104" xfId="179" applyFont="1" applyFill="1" applyBorder="1" applyAlignment="1" applyProtection="1">
      <alignment horizontal="center"/>
      <protection/>
    </xf>
    <xf numFmtId="165" fontId="3" fillId="56" borderId="0" xfId="179" applyFont="1" applyFill="1" applyBorder="1" applyAlignment="1" applyProtection="1">
      <alignment horizontal="left"/>
      <protection/>
    </xf>
    <xf numFmtId="165" fontId="3" fillId="56" borderId="0" xfId="179" applyFont="1" applyFill="1" applyBorder="1" applyAlignment="1" applyProtection="1">
      <alignment horizontal="left" wrapText="1"/>
      <protection/>
    </xf>
    <xf numFmtId="164" fontId="3" fillId="56" borderId="41" xfId="96" applyNumberFormat="1" applyFont="1" applyFill="1" applyBorder="1" applyAlignment="1" applyProtection="1">
      <alignment horizontal="right"/>
      <protection/>
    </xf>
    <xf numFmtId="164" fontId="3" fillId="56" borderId="57" xfId="96" applyNumberFormat="1" applyFont="1" applyFill="1" applyBorder="1" applyAlignment="1" applyProtection="1">
      <alignment horizontal="right"/>
      <protection/>
    </xf>
    <xf numFmtId="41" fontId="3" fillId="56" borderId="29" xfId="179" applyNumberFormat="1" applyFont="1" applyFill="1" applyBorder="1" applyAlignment="1" applyProtection="1">
      <alignment horizontal="left" vertical="top"/>
      <protection locked="0"/>
    </xf>
    <xf numFmtId="43" fontId="3" fillId="56" borderId="84" xfId="96" applyFont="1" applyFill="1" applyBorder="1" applyAlignment="1" applyProtection="1">
      <alignment horizontal="right"/>
      <protection/>
    </xf>
    <xf numFmtId="43" fontId="3" fillId="56" borderId="85" xfId="96" applyFont="1" applyFill="1" applyBorder="1" applyAlignment="1" applyProtection="1">
      <alignment horizontal="right"/>
      <protection/>
    </xf>
    <xf numFmtId="165" fontId="4" fillId="56" borderId="0" xfId="179" applyFont="1" applyFill="1" applyBorder="1" applyAlignment="1" applyProtection="1">
      <alignment horizontal="right"/>
      <protection/>
    </xf>
    <xf numFmtId="165" fontId="4" fillId="56" borderId="35" xfId="179" applyFont="1" applyFill="1" applyBorder="1" applyAlignment="1" applyProtection="1">
      <alignment horizontal="right"/>
      <protection/>
    </xf>
    <xf numFmtId="165" fontId="4" fillId="56" borderId="0" xfId="179" applyFill="1" applyAlignment="1" applyProtection="1">
      <alignment horizontal="center"/>
      <protection/>
    </xf>
    <xf numFmtId="165" fontId="4" fillId="56" borderId="0" xfId="179" applyFill="1" applyBorder="1" applyAlignment="1" applyProtection="1">
      <alignment horizontal="left" vertical="top" wrapText="1"/>
      <protection locked="0"/>
    </xf>
    <xf numFmtId="164" fontId="3" fillId="56" borderId="41" xfId="96" applyNumberFormat="1" applyFont="1" applyFill="1" applyBorder="1" applyAlignment="1" applyProtection="1">
      <alignment horizontal="right" wrapText="1"/>
      <protection/>
    </xf>
    <xf numFmtId="164" fontId="3" fillId="56" borderId="57" xfId="96" applyNumberFormat="1" applyFont="1" applyFill="1" applyBorder="1" applyAlignment="1" applyProtection="1">
      <alignment horizontal="right" wrapText="1"/>
      <protection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1" fillId="0" borderId="109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0" fontId="1" fillId="0" borderId="92" xfId="0" applyFont="1" applyBorder="1" applyAlignment="1" applyProtection="1">
      <alignment horizontal="center"/>
      <protection/>
    </xf>
    <xf numFmtId="0" fontId="1" fillId="58" borderId="79" xfId="0" applyFont="1" applyFill="1" applyBorder="1" applyAlignment="1" applyProtection="1">
      <alignment horizontal="center" wrapText="1"/>
      <protection/>
    </xf>
    <xf numFmtId="0" fontId="1" fillId="58" borderId="40" xfId="0" applyFont="1" applyFill="1" applyBorder="1" applyAlignment="1" applyProtection="1">
      <alignment horizontal="center" wrapText="1"/>
      <protection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0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0" xfId="0" applyFont="1" applyFill="1" applyBorder="1" applyAlignment="1" applyProtection="1">
      <alignment horizontal="left"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1" fillId="56" borderId="109" xfId="0" applyFont="1" applyFill="1" applyBorder="1" applyAlignment="1" applyProtection="1">
      <alignment horizontal="center"/>
      <protection/>
    </xf>
    <xf numFmtId="0" fontId="1" fillId="56" borderId="98" xfId="0" applyFont="1" applyFill="1" applyBorder="1" applyAlignment="1" applyProtection="1">
      <alignment horizontal="center"/>
      <protection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0" fontId="1" fillId="52" borderId="46" xfId="0" applyFont="1" applyFill="1" applyBorder="1" applyAlignment="1" applyProtection="1">
      <alignment horizontal="center" wrapText="1"/>
      <protection/>
    </xf>
    <xf numFmtId="0" fontId="2" fillId="56" borderId="97" xfId="0" applyFont="1" applyFill="1" applyBorder="1" applyAlignment="1" applyProtection="1">
      <alignment horizontal="center"/>
      <protection/>
    </xf>
    <xf numFmtId="0" fontId="2" fillId="56" borderId="37" xfId="0" applyFont="1" applyFill="1" applyBorder="1" applyAlignment="1" applyProtection="1">
      <alignment horizontal="center"/>
      <protection/>
    </xf>
    <xf numFmtId="0" fontId="2" fillId="56" borderId="31" xfId="0" applyFont="1" applyFill="1" applyBorder="1" applyAlignment="1" applyProtection="1">
      <alignment horizontal="center"/>
      <protection/>
    </xf>
    <xf numFmtId="0" fontId="2" fillId="56" borderId="95" xfId="0" applyFont="1" applyFill="1" applyBorder="1" applyAlignment="1" applyProtection="1">
      <alignment horizontal="center"/>
      <protection/>
    </xf>
    <xf numFmtId="0" fontId="1" fillId="52" borderId="28" xfId="0" applyFont="1" applyFill="1" applyBorder="1" applyAlignment="1" applyProtection="1">
      <alignment horizontal="center"/>
      <protection/>
    </xf>
    <xf numFmtId="0" fontId="1" fillId="52" borderId="35" xfId="0" applyFont="1" applyFill="1" applyBorder="1" applyAlignment="1" applyProtection="1">
      <alignment horizontal="center"/>
      <protection/>
    </xf>
    <xf numFmtId="0" fontId="12" fillId="27" borderId="50" xfId="0" applyFont="1" applyFill="1" applyBorder="1" applyAlignment="1" applyProtection="1">
      <alignment horizontal="left" wrapText="1"/>
      <protection/>
    </xf>
    <xf numFmtId="0" fontId="12" fillId="27" borderId="22" xfId="0" applyFont="1" applyFill="1" applyBorder="1" applyAlignment="1" applyProtection="1">
      <alignment horizontal="left" wrapText="1"/>
      <protection/>
    </xf>
    <xf numFmtId="0" fontId="1" fillId="52" borderId="50" xfId="0" applyFont="1" applyFill="1" applyBorder="1" applyAlignment="1" applyProtection="1">
      <alignment horizontal="center" wrapText="1"/>
      <protection/>
    </xf>
    <xf numFmtId="0" fontId="1" fillId="52" borderId="22" xfId="0" applyFont="1" applyFill="1" applyBorder="1" applyAlignment="1" applyProtection="1">
      <alignment horizontal="center" wrapText="1"/>
      <protection/>
    </xf>
    <xf numFmtId="0" fontId="1" fillId="52" borderId="51" xfId="0" applyFont="1" applyFill="1" applyBorder="1" applyAlignment="1" applyProtection="1">
      <alignment horizontal="center" wrapText="1"/>
      <protection/>
    </xf>
    <xf numFmtId="0" fontId="1" fillId="58" borderId="49" xfId="0" applyFont="1" applyFill="1" applyBorder="1" applyAlignment="1" applyProtection="1">
      <alignment horizontal="center" wrapText="1"/>
      <protection/>
    </xf>
    <xf numFmtId="0" fontId="1" fillId="52" borderId="110" xfId="0" applyFont="1" applyFill="1" applyBorder="1" applyAlignment="1" applyProtection="1">
      <alignment horizontal="center" wrapText="1"/>
      <protection/>
    </xf>
    <xf numFmtId="0" fontId="1" fillId="52" borderId="37" xfId="0" applyFont="1" applyFill="1" applyBorder="1" applyAlignment="1" applyProtection="1">
      <alignment horizontal="center" wrapText="1"/>
      <protection/>
    </xf>
    <xf numFmtId="0" fontId="1" fillId="52" borderId="11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0" fontId="1" fillId="52" borderId="42" xfId="0" applyFont="1" applyFill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14" fontId="3" fillId="56" borderId="31" xfId="179" applyNumberFormat="1" applyFont="1" applyFill="1" applyBorder="1" applyAlignment="1" applyProtection="1">
      <alignment horizontal="center"/>
      <protection/>
    </xf>
    <xf numFmtId="164" fontId="3" fillId="56" borderId="77" xfId="96" applyNumberFormat="1" applyFont="1" applyFill="1" applyBorder="1" applyAlignment="1" applyProtection="1">
      <alignment horizontal="right" wrapText="1"/>
      <protection/>
    </xf>
    <xf numFmtId="164" fontId="3" fillId="56" borderId="56" xfId="96" applyNumberFormat="1" applyFont="1" applyFill="1" applyBorder="1" applyAlignment="1" applyProtection="1">
      <alignment horizontal="right" wrapText="1"/>
      <protection/>
    </xf>
    <xf numFmtId="165" fontId="3" fillId="56" borderId="0" xfId="179" applyFont="1" applyFill="1" applyBorder="1" applyAlignment="1" applyProtection="1">
      <alignment wrapText="1"/>
      <protection/>
    </xf>
    <xf numFmtId="10" fontId="3" fillId="56" borderId="41" xfId="187" applyNumberFormat="1" applyFont="1" applyFill="1" applyBorder="1" applyAlignment="1" applyProtection="1">
      <alignment horizontal="right"/>
      <protection/>
    </xf>
    <xf numFmtId="10" fontId="3" fillId="56" borderId="57" xfId="187" applyNumberFormat="1" applyFont="1" applyFill="1" applyBorder="1" applyAlignment="1" applyProtection="1">
      <alignment horizontal="right"/>
      <protection/>
    </xf>
    <xf numFmtId="41" fontId="3" fillId="56" borderId="0" xfId="179" applyNumberFormat="1" applyFont="1" applyFill="1" applyBorder="1" applyAlignment="1" applyProtection="1">
      <alignment horizontal="left" vertical="top"/>
      <protection locked="0"/>
    </xf>
    <xf numFmtId="41" fontId="3" fillId="56" borderId="35" xfId="179" applyNumberFormat="1" applyFont="1" applyFill="1" applyBorder="1" applyAlignment="1" applyProtection="1">
      <alignment horizontal="left" vertical="top"/>
      <protection locked="0"/>
    </xf>
    <xf numFmtId="165" fontId="4" fillId="56" borderId="38" xfId="179" applyFill="1" applyBorder="1" applyAlignment="1" applyProtection="1">
      <alignment horizontal="left" vertical="top" wrapText="1"/>
      <protection locked="0"/>
    </xf>
    <xf numFmtId="165" fontId="4" fillId="56" borderId="29" xfId="179" applyFill="1" applyBorder="1" applyAlignment="1" applyProtection="1">
      <alignment horizontal="left" vertical="top" wrapText="1"/>
      <protection locked="0"/>
    </xf>
    <xf numFmtId="165" fontId="4" fillId="56" borderId="39" xfId="179" applyFill="1" applyBorder="1" applyAlignment="1" applyProtection="1">
      <alignment horizontal="left" vertical="top" wrapText="1"/>
      <protection locked="0"/>
    </xf>
    <xf numFmtId="165" fontId="3" fillId="56" borderId="0" xfId="179" applyFont="1" applyFill="1" applyBorder="1" applyAlignment="1" applyProtection="1">
      <alignment horizontal="right"/>
      <protection/>
    </xf>
    <xf numFmtId="165" fontId="3" fillId="56" borderId="35" xfId="179" applyFont="1" applyFill="1" applyBorder="1" applyAlignment="1" applyProtection="1">
      <alignment horizontal="right"/>
      <protection/>
    </xf>
    <xf numFmtId="164" fontId="3" fillId="56" borderId="0" xfId="96" applyNumberFormat="1" applyFont="1" applyFill="1" applyBorder="1" applyAlignment="1" applyProtection="1">
      <alignment horizontal="right"/>
      <protection/>
    </xf>
    <xf numFmtId="164" fontId="3" fillId="56" borderId="35" xfId="96" applyNumberFormat="1" applyFont="1" applyFill="1" applyBorder="1" applyAlignment="1" applyProtection="1">
      <alignment horizontal="right"/>
      <protection/>
    </xf>
    <xf numFmtId="164" fontId="3" fillId="56" borderId="84" xfId="96" applyNumberFormat="1" applyFont="1" applyFill="1" applyBorder="1" applyAlignment="1" applyProtection="1">
      <alignment horizontal="right"/>
      <protection/>
    </xf>
    <xf numFmtId="164" fontId="3" fillId="56" borderId="85" xfId="96" applyNumberFormat="1" applyFont="1" applyFill="1" applyBorder="1" applyAlignment="1" applyProtection="1">
      <alignment horizontal="right"/>
      <protection/>
    </xf>
    <xf numFmtId="0" fontId="1" fillId="52" borderId="98" xfId="0" applyFont="1" applyFill="1" applyBorder="1" applyAlignment="1" applyProtection="1">
      <alignment horizontal="center" wrapText="1"/>
      <protection/>
    </xf>
    <xf numFmtId="0" fontId="1" fillId="52" borderId="61" xfId="0" applyFont="1" applyFill="1" applyBorder="1" applyAlignment="1" applyProtection="1">
      <alignment horizontal="center" wrapText="1"/>
      <protection/>
    </xf>
    <xf numFmtId="0" fontId="0" fillId="56" borderId="0" xfId="0" applyFont="1" applyFill="1" applyBorder="1" applyAlignment="1" applyProtection="1">
      <alignment horizontal="left"/>
      <protection/>
    </xf>
    <xf numFmtId="0" fontId="1" fillId="56" borderId="0" xfId="0" applyFont="1" applyFill="1" applyAlignment="1" applyProtection="1">
      <alignment horizontal="right"/>
      <protection/>
    </xf>
    <xf numFmtId="37" fontId="4" fillId="56" borderId="23" xfId="179" applyNumberFormat="1" applyFont="1" applyFill="1" applyBorder="1" applyAlignment="1" applyProtection="1">
      <alignment wrapText="1"/>
      <protection/>
    </xf>
    <xf numFmtId="37" fontId="4" fillId="56" borderId="24" xfId="179" applyNumberFormat="1" applyFont="1" applyFill="1" applyBorder="1" applyAlignment="1" applyProtection="1">
      <alignment wrapText="1"/>
      <protection/>
    </xf>
    <xf numFmtId="37" fontId="3" fillId="56" borderId="84" xfId="179" applyNumberFormat="1" applyFont="1" applyFill="1" applyBorder="1" applyAlignment="1" applyProtection="1">
      <alignment wrapText="1"/>
      <protection/>
    </xf>
    <xf numFmtId="37" fontId="3" fillId="56" borderId="23" xfId="179" applyNumberFormat="1" applyFont="1" applyFill="1" applyBorder="1" applyAlignment="1" applyProtection="1">
      <alignment wrapText="1"/>
      <protection/>
    </xf>
    <xf numFmtId="37" fontId="3" fillId="56" borderId="24" xfId="179" applyNumberFormat="1" applyFont="1" applyFill="1" applyBorder="1" applyAlignment="1" applyProtection="1">
      <alignment wrapText="1"/>
      <protection/>
    </xf>
    <xf numFmtId="165" fontId="3" fillId="56" borderId="22" xfId="179" applyFont="1" applyFill="1" applyBorder="1" applyAlignment="1" applyProtection="1">
      <alignment horizontal="center" wrapText="1"/>
      <protection locked="0"/>
    </xf>
    <xf numFmtId="165" fontId="3" fillId="56" borderId="28" xfId="179" applyFont="1" applyFill="1" applyBorder="1" applyAlignment="1" applyProtection="1">
      <alignment horizontal="center" wrapText="1"/>
      <protection locked="0"/>
    </xf>
    <xf numFmtId="165" fontId="3" fillId="56" borderId="0" xfId="179" applyFont="1" applyFill="1" applyBorder="1" applyAlignment="1" applyProtection="1">
      <alignment horizontal="left" wrapText="1"/>
      <protection locked="0"/>
    </xf>
    <xf numFmtId="37" fontId="4" fillId="56" borderId="41" xfId="179" applyNumberFormat="1" applyFont="1" applyFill="1" applyBorder="1" applyAlignment="1" applyProtection="1">
      <alignment wrapText="1"/>
      <protection locked="0"/>
    </xf>
    <xf numFmtId="165" fontId="3" fillId="56" borderId="0" xfId="179" applyFont="1" applyFill="1" applyBorder="1" applyAlignment="1" applyProtection="1">
      <alignment horizontal="center" wrapText="1"/>
      <protection/>
    </xf>
    <xf numFmtId="37" fontId="4" fillId="56" borderId="50" xfId="179" applyNumberFormat="1" applyFont="1" applyFill="1" applyBorder="1" applyAlignment="1" applyProtection="1">
      <alignment wrapText="1"/>
      <protection locked="0"/>
    </xf>
    <xf numFmtId="37" fontId="4" fillId="56" borderId="51" xfId="179" applyNumberFormat="1" applyFont="1" applyFill="1" applyBorder="1" applyAlignment="1" applyProtection="1">
      <alignment wrapText="1"/>
      <protection locked="0"/>
    </xf>
    <xf numFmtId="37" fontId="4" fillId="56" borderId="0" xfId="179" applyNumberFormat="1" applyFont="1" applyFill="1" applyBorder="1" applyAlignment="1" applyProtection="1">
      <alignment wrapText="1"/>
      <protection/>
    </xf>
    <xf numFmtId="165" fontId="3" fillId="56" borderId="96" xfId="179" applyFont="1" applyFill="1" applyBorder="1" applyAlignment="1" applyProtection="1">
      <alignment horizontal="left"/>
      <protection/>
    </xf>
    <xf numFmtId="165" fontId="3" fillId="56" borderId="104" xfId="179" applyFont="1" applyFill="1" applyBorder="1" applyAlignment="1" applyProtection="1">
      <alignment horizontal="left"/>
      <protection/>
    </xf>
    <xf numFmtId="41" fontId="3" fillId="56" borderId="0" xfId="179" applyNumberFormat="1" applyFont="1" applyFill="1" applyBorder="1" applyAlignment="1" applyProtection="1">
      <alignment horizontal="left" vertical="top"/>
      <protection/>
    </xf>
    <xf numFmtId="41" fontId="3" fillId="56" borderId="35" xfId="179" applyNumberFormat="1" applyFont="1" applyFill="1" applyBorder="1" applyAlignment="1" applyProtection="1">
      <alignment horizontal="left" vertical="top"/>
      <protection/>
    </xf>
    <xf numFmtId="165" fontId="4" fillId="56" borderId="38" xfId="179" applyFill="1" applyBorder="1" applyAlignment="1" applyProtection="1">
      <alignment horizontal="left" vertical="top" wrapText="1"/>
      <protection/>
    </xf>
    <xf numFmtId="165" fontId="4" fillId="56" borderId="29" xfId="179" applyFill="1" applyBorder="1" applyAlignment="1" applyProtection="1">
      <alignment horizontal="left" vertical="top" wrapText="1"/>
      <protection/>
    </xf>
    <xf numFmtId="165" fontId="4" fillId="56" borderId="39" xfId="179" applyFill="1" applyBorder="1" applyAlignment="1" applyProtection="1">
      <alignment horizontal="left" vertical="top" wrapText="1"/>
      <protection/>
    </xf>
    <xf numFmtId="165" fontId="3" fillId="58" borderId="93" xfId="179" applyFont="1" applyFill="1" applyBorder="1" applyAlignment="1" applyProtection="1">
      <alignment horizontal="center"/>
      <protection/>
    </xf>
    <xf numFmtId="165" fontId="3" fillId="58" borderId="96" xfId="179" applyFont="1" applyFill="1" applyBorder="1" applyAlignment="1" applyProtection="1">
      <alignment horizontal="center"/>
      <protection/>
    </xf>
    <xf numFmtId="165" fontId="3" fillId="58" borderId="31" xfId="179" applyFont="1" applyFill="1" applyBorder="1" applyAlignment="1" applyProtection="1">
      <alignment horizontal="center"/>
      <protection/>
    </xf>
    <xf numFmtId="165" fontId="3" fillId="58" borderId="36" xfId="179" applyFont="1" applyFill="1" applyBorder="1" applyAlignment="1" applyProtection="1">
      <alignment horizontal="center"/>
      <protection/>
    </xf>
    <xf numFmtId="165" fontId="3" fillId="56" borderId="30" xfId="179" applyFont="1" applyFill="1" applyBorder="1" applyAlignment="1" applyProtection="1">
      <alignment horizontal="center" wrapText="1"/>
      <protection/>
    </xf>
    <xf numFmtId="165" fontId="3" fillId="56" borderId="31" xfId="179" applyFont="1" applyFill="1" applyBorder="1" applyAlignment="1" applyProtection="1">
      <alignment horizontal="center" wrapText="1"/>
      <protection/>
    </xf>
    <xf numFmtId="165" fontId="3" fillId="58" borderId="30" xfId="179" applyFont="1" applyFill="1" applyBorder="1" applyAlignment="1" applyProtection="1">
      <alignment horizontal="center"/>
      <protection/>
    </xf>
    <xf numFmtId="165" fontId="3" fillId="56" borderId="93" xfId="179" applyFont="1" applyFill="1" applyBorder="1" applyAlignment="1" applyProtection="1">
      <alignment horizontal="center"/>
      <protection/>
    </xf>
    <xf numFmtId="165" fontId="3" fillId="56" borderId="96" xfId="179" applyFont="1" applyFill="1" applyBorder="1" applyAlignment="1" applyProtection="1">
      <alignment horizontal="center"/>
      <protection/>
    </xf>
    <xf numFmtId="165" fontId="3" fillId="56" borderId="104" xfId="179" applyFont="1" applyFill="1" applyBorder="1" applyAlignment="1" applyProtection="1">
      <alignment horizontal="center"/>
      <protection/>
    </xf>
    <xf numFmtId="37" fontId="3" fillId="56" borderId="85" xfId="179" applyNumberFormat="1" applyFont="1" applyFill="1" applyBorder="1" applyAlignment="1" applyProtection="1">
      <alignment wrapText="1"/>
      <protection/>
    </xf>
    <xf numFmtId="37" fontId="3" fillId="56" borderId="41" xfId="179" applyNumberFormat="1" applyFont="1" applyFill="1" applyBorder="1" applyAlignment="1" applyProtection="1">
      <alignment wrapText="1"/>
      <protection/>
    </xf>
    <xf numFmtId="37" fontId="3" fillId="56" borderId="57" xfId="179" applyNumberFormat="1" applyFont="1" applyFill="1" applyBorder="1" applyAlignment="1" applyProtection="1">
      <alignment wrapText="1"/>
      <protection/>
    </xf>
    <xf numFmtId="165" fontId="4" fillId="56" borderId="46" xfId="179" applyFont="1" applyFill="1" applyBorder="1" applyAlignment="1" applyProtection="1">
      <alignment horizontal="center" wrapText="1"/>
      <protection locked="0"/>
    </xf>
    <xf numFmtId="165" fontId="4" fillId="56" borderId="34" xfId="179" applyFont="1" applyFill="1" applyBorder="1" applyAlignment="1" applyProtection="1">
      <alignment horizontal="center" wrapText="1"/>
      <protection locked="0"/>
    </xf>
    <xf numFmtId="165" fontId="4" fillId="56" borderId="23" xfId="179" applyFont="1" applyFill="1" applyBorder="1" applyAlignment="1" applyProtection="1">
      <alignment horizontal="center" wrapText="1"/>
      <protection locked="0"/>
    </xf>
    <xf numFmtId="165" fontId="4" fillId="56" borderId="66" xfId="179" applyFont="1" applyFill="1" applyBorder="1" applyAlignment="1" applyProtection="1">
      <alignment horizontal="center" wrapText="1"/>
      <protection locked="0"/>
    </xf>
    <xf numFmtId="37" fontId="3" fillId="56" borderId="50" xfId="179" applyNumberFormat="1" applyFont="1" applyFill="1" applyBorder="1" applyAlignment="1" applyProtection="1">
      <alignment wrapText="1"/>
      <protection/>
    </xf>
    <xf numFmtId="37" fontId="3" fillId="56" borderId="62" xfId="179" applyNumberFormat="1" applyFont="1" applyFill="1" applyBorder="1" applyAlignment="1" applyProtection="1">
      <alignment wrapText="1"/>
      <protection/>
    </xf>
    <xf numFmtId="165" fontId="3" fillId="56" borderId="35" xfId="179" applyFont="1" applyFill="1" applyBorder="1" applyAlignment="1" applyProtection="1">
      <alignment horizontal="center" wrapText="1"/>
      <protection/>
    </xf>
    <xf numFmtId="165" fontId="3" fillId="56" borderId="93" xfId="179" applyFont="1" applyFill="1" applyBorder="1" applyAlignment="1" applyProtection="1">
      <alignment horizontal="left"/>
      <protection/>
    </xf>
    <xf numFmtId="165" fontId="4" fillId="56" borderId="26" xfId="179" applyFont="1" applyFill="1" applyBorder="1" applyAlignment="1" applyProtection="1">
      <alignment horizontal="center" wrapText="1"/>
      <protection locked="0"/>
    </xf>
    <xf numFmtId="165" fontId="4" fillId="56" borderId="55" xfId="179" applyFont="1" applyFill="1" applyBorder="1" applyAlignment="1" applyProtection="1">
      <alignment horizontal="center" wrapText="1"/>
      <protection locked="0"/>
    </xf>
    <xf numFmtId="165" fontId="4" fillId="56" borderId="0" xfId="179" applyFont="1" applyFill="1" applyBorder="1" applyAlignment="1" applyProtection="1">
      <alignment horizontal="center" wrapText="1"/>
      <protection locked="0"/>
    </xf>
    <xf numFmtId="165" fontId="4" fillId="56" borderId="35" xfId="179" applyFont="1" applyFill="1" applyBorder="1" applyAlignment="1" applyProtection="1">
      <alignment horizontal="center" wrapText="1"/>
      <protection locked="0"/>
    </xf>
    <xf numFmtId="165" fontId="3" fillId="56" borderId="0" xfId="179" applyFont="1" applyFill="1" applyBorder="1" applyAlignment="1" applyProtection="1">
      <alignment horizontal="center"/>
      <protection/>
    </xf>
    <xf numFmtId="164" fontId="0" fillId="0" borderId="41" xfId="96" applyNumberFormat="1" applyFont="1" applyFill="1" applyBorder="1" applyAlignment="1">
      <alignment/>
    </xf>
    <xf numFmtId="164" fontId="0" fillId="0" borderId="41" xfId="96" applyNumberFormat="1" applyFont="1" applyFill="1" applyBorder="1" applyAlignment="1" applyProtection="1">
      <alignment/>
      <protection locked="0"/>
    </xf>
    <xf numFmtId="39" fontId="0" fillId="56" borderId="0" xfId="0" applyNumberFormat="1" applyFill="1" applyAlignment="1" applyProtection="1">
      <alignment/>
      <protection/>
    </xf>
    <xf numFmtId="0" fontId="1" fillId="61" borderId="0" xfId="0" applyFont="1" applyFill="1" applyAlignment="1">
      <alignment horizontal="left"/>
    </xf>
  </cellXfs>
  <cellStyles count="19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10" xfId="98"/>
    <cellStyle name="Comma 11" xfId="99"/>
    <cellStyle name="Comma 12" xfId="100"/>
    <cellStyle name="Comma 13" xfId="101"/>
    <cellStyle name="Comma 14" xfId="102"/>
    <cellStyle name="Comma 2" xfId="103"/>
    <cellStyle name="Comma 2 2" xfId="104"/>
    <cellStyle name="Comma 2 3" xfId="105"/>
    <cellStyle name="Comma 3" xfId="106"/>
    <cellStyle name="Comma 4" xfId="107"/>
    <cellStyle name="Comma 4 2" xfId="108"/>
    <cellStyle name="Comma 4 3" xfId="109"/>
    <cellStyle name="Comma 5" xfId="110"/>
    <cellStyle name="Comma 5 2" xfId="111"/>
    <cellStyle name="Comma 6" xfId="112"/>
    <cellStyle name="Comma 6 2" xfId="113"/>
    <cellStyle name="Comma 7" xfId="114"/>
    <cellStyle name="Comma 8" xfId="115"/>
    <cellStyle name="Comma 9" xfId="116"/>
    <cellStyle name="Currency" xfId="117"/>
    <cellStyle name="Currency [0]" xfId="118"/>
    <cellStyle name="Currency 2" xfId="119"/>
    <cellStyle name="Currency 2 2" xfId="120"/>
    <cellStyle name="Currency 3" xfId="121"/>
    <cellStyle name="Currency 3 2" xfId="122"/>
    <cellStyle name="Currency 4" xfId="123"/>
    <cellStyle name="Currency 4 2" xfId="124"/>
    <cellStyle name="Currency 5" xfId="125"/>
    <cellStyle name="Currency 6" xfId="126"/>
    <cellStyle name="Currency 7" xfId="127"/>
    <cellStyle name="Explanatory Text" xfId="128"/>
    <cellStyle name="Explanatory Text 2" xfId="129"/>
    <cellStyle name="Explanatory Text 3" xfId="130"/>
    <cellStyle name="FRxAmtStyle" xfId="131"/>
    <cellStyle name="Good" xfId="132"/>
    <cellStyle name="Good 2" xfId="133"/>
    <cellStyle name="Good 3" xfId="134"/>
    <cellStyle name="Heading 1" xfId="135"/>
    <cellStyle name="Heading 1 2" xfId="136"/>
    <cellStyle name="Heading 1 3" xfId="137"/>
    <cellStyle name="Heading 2" xfId="138"/>
    <cellStyle name="Heading 2 2" xfId="139"/>
    <cellStyle name="Heading 2 3" xfId="140"/>
    <cellStyle name="Heading 3" xfId="141"/>
    <cellStyle name="Heading 3 2" xfId="142"/>
    <cellStyle name="Heading 3 3" xfId="143"/>
    <cellStyle name="Heading 4" xfId="144"/>
    <cellStyle name="Heading 4 2" xfId="145"/>
    <cellStyle name="Heading 4 3" xfId="146"/>
    <cellStyle name="Input" xfId="147"/>
    <cellStyle name="Input 2" xfId="148"/>
    <cellStyle name="Input 3" xfId="149"/>
    <cellStyle name="Linked Cell" xfId="150"/>
    <cellStyle name="Linked Cell 2" xfId="151"/>
    <cellStyle name="Linked Cell 3" xfId="152"/>
    <cellStyle name="Neutral" xfId="153"/>
    <cellStyle name="Neutral 2" xfId="154"/>
    <cellStyle name="Neutral 3" xfId="155"/>
    <cellStyle name="Normal 10" xfId="156"/>
    <cellStyle name="Normal 10 2" xfId="157"/>
    <cellStyle name="Normal 10 3" xfId="158"/>
    <cellStyle name="Normal 11" xfId="159"/>
    <cellStyle name="Normal 12" xfId="160"/>
    <cellStyle name="Normal 13" xfId="161"/>
    <cellStyle name="Normal 14" xfId="162"/>
    <cellStyle name="Normal 15" xfId="163"/>
    <cellStyle name="Normal 2" xfId="164"/>
    <cellStyle name="Normal 2 2" xfId="165"/>
    <cellStyle name="Normal 2 2 2" xfId="166"/>
    <cellStyle name="Normal 2 3" xfId="167"/>
    <cellStyle name="Normal 2 4" xfId="168"/>
    <cellStyle name="Normal 3" xfId="169"/>
    <cellStyle name="Normal 4" xfId="170"/>
    <cellStyle name="Normal 5" xfId="171"/>
    <cellStyle name="Normal 6" xfId="172"/>
    <cellStyle name="Normal 7" xfId="173"/>
    <cellStyle name="Normal 7 2" xfId="174"/>
    <cellStyle name="Normal 7 3" xfId="175"/>
    <cellStyle name="Normal 7 4" xfId="176"/>
    <cellStyle name="Normal 8" xfId="177"/>
    <cellStyle name="Normal 9" xfId="178"/>
    <cellStyle name="Normal_CC90-FRO" xfId="179"/>
    <cellStyle name="Normal_CC90-WS1" xfId="180"/>
    <cellStyle name="Note" xfId="181"/>
    <cellStyle name="Note 2" xfId="182"/>
    <cellStyle name="Note 3" xfId="183"/>
    <cellStyle name="Output" xfId="184"/>
    <cellStyle name="Output 2" xfId="185"/>
    <cellStyle name="Output 3" xfId="186"/>
    <cellStyle name="Percent" xfId="187"/>
    <cellStyle name="Percent 2" xfId="188"/>
    <cellStyle name="Percent 3" xfId="189"/>
    <cellStyle name="Percent 4" xfId="190"/>
    <cellStyle name="Percent 4 2" xfId="191"/>
    <cellStyle name="Percent 5" xfId="192"/>
    <cellStyle name="Percent 6" xfId="193"/>
    <cellStyle name="Percent 7" xfId="194"/>
    <cellStyle name="Percent 8" xfId="195"/>
    <cellStyle name="Percent 9" xfId="196"/>
    <cellStyle name="STYLE1" xfId="197"/>
    <cellStyle name="STYLE1 2" xfId="198"/>
    <cellStyle name="STYLE2" xfId="199"/>
    <cellStyle name="STYLE3" xfId="200"/>
    <cellStyle name="STYLE3 2" xfId="201"/>
    <cellStyle name="Title" xfId="202"/>
    <cellStyle name="Title 2" xfId="203"/>
    <cellStyle name="Title 3" xfId="204"/>
    <cellStyle name="Total" xfId="205"/>
    <cellStyle name="Total 2" xfId="206"/>
    <cellStyle name="Total 3" xfId="207"/>
    <cellStyle name="Warning Text" xfId="208"/>
    <cellStyle name="Warning Text 2" xfId="209"/>
    <cellStyle name="Warning Text 3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P49" sqref="P49"/>
    </sheetView>
  </sheetViews>
  <sheetFormatPr defaultColWidth="9.7109375" defaultRowHeight="12.75"/>
  <cols>
    <col min="1" max="1" width="5.28125" style="15" customWidth="1"/>
    <col min="2" max="2" width="9.7109375" style="15" customWidth="1"/>
    <col min="3" max="3" width="1.7109375" style="15" customWidth="1"/>
    <col min="4" max="4" width="10.7109375" style="15" customWidth="1"/>
    <col min="5" max="5" width="14.57421875" style="15" bestFit="1" customWidth="1"/>
    <col min="6" max="6" width="9.7109375" style="15" customWidth="1"/>
    <col min="7" max="7" width="1.7109375" style="15" customWidth="1"/>
    <col min="8" max="8" width="10.57421875" style="15" customWidth="1"/>
    <col min="9" max="9" width="10.8515625" style="15" customWidth="1"/>
    <col min="10" max="10" width="9.7109375" style="15" customWidth="1"/>
    <col min="11" max="11" width="1.7109375" style="15" customWidth="1"/>
    <col min="12" max="12" width="10.140625" style="15" bestFit="1" customWidth="1"/>
    <col min="13" max="13" width="9.7109375" style="15" customWidth="1"/>
    <col min="14" max="14" width="11.8515625" style="15" customWidth="1"/>
    <col min="15" max="16384" width="9.7109375" style="12" customWidth="1"/>
  </cols>
  <sheetData>
    <row r="1" spans="2:14" ht="12.75"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4" ht="25.5">
      <c r="A2" s="850" t="s">
        <v>45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1:14" ht="16.5">
      <c r="A3" s="842" t="s">
        <v>46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</row>
    <row r="4" spans="1:14" ht="16.5">
      <c r="A4" s="842" t="s">
        <v>53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</row>
    <row r="5" spans="1:14" ht="11.25" customHeight="1">
      <c r="A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6.5">
      <c r="A6" s="842" t="s">
        <v>47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</row>
    <row r="7" spans="1:14" ht="16.5">
      <c r="A7" s="842" t="s">
        <v>48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</row>
    <row r="8" spans="2:14" ht="12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2.7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2:14" ht="15">
      <c r="B10" s="46" t="s">
        <v>3</v>
      </c>
      <c r="C10" s="46"/>
      <c r="D10" s="65"/>
      <c r="E10" s="272"/>
      <c r="F10" s="272"/>
      <c r="G10" s="273"/>
      <c r="H10" s="273"/>
      <c r="I10" s="46" t="s">
        <v>4</v>
      </c>
      <c r="J10" s="65"/>
      <c r="K10" s="65"/>
      <c r="L10" s="272"/>
      <c r="M10" s="272"/>
      <c r="N10" s="273"/>
    </row>
    <row r="11" spans="2:14" ht="7.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23.25" customHeight="1">
      <c r="A12" s="48" t="s">
        <v>49</v>
      </c>
      <c r="B12" s="74" t="s">
        <v>37</v>
      </c>
      <c r="C12" s="274"/>
      <c r="D12" s="274"/>
      <c r="E12" s="851" t="s">
        <v>360</v>
      </c>
      <c r="F12" s="851"/>
      <c r="G12" s="851"/>
      <c r="H12" s="851"/>
      <c r="I12" s="851"/>
      <c r="J12" s="851"/>
      <c r="K12" s="851"/>
      <c r="L12" s="851"/>
      <c r="M12" s="851"/>
      <c r="N12" s="852"/>
    </row>
    <row r="13" spans="2:14" ht="23.25" customHeight="1">
      <c r="B13" s="58" t="s">
        <v>39</v>
      </c>
      <c r="C13" s="198"/>
      <c r="D13" s="198"/>
      <c r="E13" s="847" t="s">
        <v>361</v>
      </c>
      <c r="F13" s="847"/>
      <c r="G13" s="847"/>
      <c r="H13" s="847"/>
      <c r="I13" s="847"/>
      <c r="J13" s="847"/>
      <c r="K13" s="847"/>
      <c r="L13" s="847"/>
      <c r="M13" s="847"/>
      <c r="N13" s="848"/>
    </row>
    <row r="14" spans="2:14" ht="23.25" customHeight="1">
      <c r="B14" s="58" t="s">
        <v>36</v>
      </c>
      <c r="C14" s="198"/>
      <c r="D14" s="198"/>
      <c r="E14" s="847" t="s">
        <v>362</v>
      </c>
      <c r="F14" s="847"/>
      <c r="G14" s="847"/>
      <c r="H14" s="847"/>
      <c r="I14" s="847"/>
      <c r="J14" s="847"/>
      <c r="K14" s="847"/>
      <c r="L14" s="847"/>
      <c r="M14" s="847"/>
      <c r="N14" s="848"/>
    </row>
    <row r="15" spans="2:14" ht="23.25" customHeight="1">
      <c r="B15" s="58" t="s">
        <v>40</v>
      </c>
      <c r="C15" s="198"/>
      <c r="D15" s="198"/>
      <c r="E15" s="847" t="s">
        <v>363</v>
      </c>
      <c r="F15" s="847"/>
      <c r="G15" s="847"/>
      <c r="H15" s="847"/>
      <c r="I15" s="847"/>
      <c r="J15" s="847"/>
      <c r="K15" s="847"/>
      <c r="L15" s="847"/>
      <c r="M15" s="847"/>
      <c r="N15" s="848"/>
    </row>
    <row r="16" spans="2:14" ht="23.25" customHeight="1">
      <c r="B16" s="58" t="s">
        <v>41</v>
      </c>
      <c r="C16" s="198"/>
      <c r="D16" s="198"/>
      <c r="E16" s="847" t="s">
        <v>678</v>
      </c>
      <c r="F16" s="847"/>
      <c r="G16" s="847"/>
      <c r="H16" s="847"/>
      <c r="I16" s="847"/>
      <c r="J16" s="847"/>
      <c r="K16" s="847"/>
      <c r="L16" s="847"/>
      <c r="M16" s="847"/>
      <c r="N16" s="848"/>
    </row>
    <row r="17" spans="2:14" ht="23.25" customHeight="1">
      <c r="B17" s="58" t="s">
        <v>34</v>
      </c>
      <c r="C17" s="198"/>
      <c r="D17" s="198"/>
      <c r="E17" s="847" t="s">
        <v>364</v>
      </c>
      <c r="F17" s="847"/>
      <c r="G17" s="847"/>
      <c r="H17" s="847"/>
      <c r="I17" s="847"/>
      <c r="J17" s="847"/>
      <c r="K17" s="847"/>
      <c r="L17" s="847"/>
      <c r="M17" s="847"/>
      <c r="N17" s="848"/>
    </row>
    <row r="18" spans="2:14" ht="15" customHeight="1" thickBot="1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/>
    </row>
    <row r="19" spans="1:14" ht="15">
      <c r="A19" s="48" t="s">
        <v>50</v>
      </c>
      <c r="B19" s="56" t="s">
        <v>215</v>
      </c>
      <c r="C19" s="57"/>
      <c r="D19" s="278"/>
      <c r="E19" s="274"/>
      <c r="F19" s="274"/>
      <c r="G19" s="274"/>
      <c r="H19" s="334"/>
      <c r="I19" s="59" t="s">
        <v>5</v>
      </c>
      <c r="J19" s="278"/>
      <c r="K19" s="278"/>
      <c r="L19" s="278"/>
      <c r="M19" s="279"/>
      <c r="N19" s="280"/>
    </row>
    <row r="20" spans="2:14" ht="15">
      <c r="B20" s="64"/>
      <c r="C20" s="45" t="s">
        <v>42</v>
      </c>
      <c r="D20" s="49"/>
      <c r="E20" s="49"/>
      <c r="F20" s="839" t="s">
        <v>365</v>
      </c>
      <c r="G20" s="840"/>
      <c r="H20" s="841"/>
      <c r="I20" s="281"/>
      <c r="J20" s="60" t="s">
        <v>6</v>
      </c>
      <c r="K20" s="60"/>
      <c r="L20" s="50">
        <v>43647</v>
      </c>
      <c r="M20" s="61" t="s">
        <v>7</v>
      </c>
      <c r="N20" s="62">
        <v>44012</v>
      </c>
    </row>
    <row r="21" spans="2:14" ht="15">
      <c r="B21" s="64"/>
      <c r="C21" s="45" t="s">
        <v>24</v>
      </c>
      <c r="D21" s="51"/>
      <c r="E21" s="51"/>
      <c r="F21" s="839" t="s">
        <v>366</v>
      </c>
      <c r="G21" s="840"/>
      <c r="H21" s="841"/>
      <c r="I21" s="281"/>
      <c r="J21" s="60"/>
      <c r="K21" s="60"/>
      <c r="L21" s="52"/>
      <c r="M21" s="61"/>
      <c r="N21" s="63"/>
    </row>
    <row r="22" spans="2:14" ht="15">
      <c r="B22" s="64"/>
      <c r="C22" s="45" t="s">
        <v>43</v>
      </c>
      <c r="D22" s="51"/>
      <c r="E22" s="51"/>
      <c r="F22" s="839" t="s">
        <v>367</v>
      </c>
      <c r="G22" s="840"/>
      <c r="H22" s="841"/>
      <c r="I22" s="281"/>
      <c r="J22" s="60"/>
      <c r="K22" s="60"/>
      <c r="L22" s="52"/>
      <c r="M22" s="61"/>
      <c r="N22" s="63"/>
    </row>
    <row r="23" spans="2:14" ht="15">
      <c r="B23" s="64"/>
      <c r="C23" s="45" t="s">
        <v>44</v>
      </c>
      <c r="D23" s="51"/>
      <c r="E23" s="51"/>
      <c r="F23" s="840"/>
      <c r="G23" s="840"/>
      <c r="H23" s="841"/>
      <c r="I23" s="281"/>
      <c r="J23" s="60"/>
      <c r="K23" s="60"/>
      <c r="L23" s="52"/>
      <c r="M23" s="61"/>
      <c r="N23" s="63"/>
    </row>
    <row r="24" spans="2:14" ht="15">
      <c r="B24" s="64"/>
      <c r="C24" s="47"/>
      <c r="D24" s="65"/>
      <c r="E24" s="65"/>
      <c r="F24" s="845"/>
      <c r="G24" s="845"/>
      <c r="H24" s="846"/>
      <c r="I24" s="282"/>
      <c r="J24" s="197"/>
      <c r="K24" s="197"/>
      <c r="L24" s="197"/>
      <c r="M24" s="283"/>
      <c r="N24" s="284"/>
    </row>
    <row r="25" spans="2:14" ht="15.75" thickBot="1">
      <c r="B25" s="285"/>
      <c r="C25" s="55"/>
      <c r="D25" s="55"/>
      <c r="E25" s="55"/>
      <c r="F25" s="55"/>
      <c r="G25" s="55"/>
      <c r="H25" s="55"/>
      <c r="I25" s="286"/>
      <c r="J25" s="55"/>
      <c r="K25" s="55"/>
      <c r="L25" s="55"/>
      <c r="M25" s="55"/>
      <c r="N25" s="287"/>
    </row>
    <row r="26" spans="1:14" ht="15">
      <c r="A26" s="48" t="s">
        <v>51</v>
      </c>
      <c r="B26" s="56" t="s">
        <v>212</v>
      </c>
      <c r="C26" s="5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88"/>
    </row>
    <row r="27" spans="2:14" ht="17.25" customHeight="1">
      <c r="B27" s="64"/>
      <c r="C27" s="53" t="s">
        <v>368</v>
      </c>
      <c r="D27" s="45" t="s">
        <v>25</v>
      </c>
      <c r="E27" s="67"/>
      <c r="F27" s="67"/>
      <c r="G27" s="67"/>
      <c r="H27" s="67"/>
      <c r="I27" s="67"/>
      <c r="J27" s="67"/>
      <c r="K27" s="67"/>
      <c r="L27" s="67"/>
      <c r="M27" s="65"/>
      <c r="N27" s="66"/>
    </row>
    <row r="28" spans="2:14" ht="9.75" customHeight="1">
      <c r="B28" s="289"/>
      <c r="C28" s="198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</row>
    <row r="29" spans="2:14" ht="12" customHeight="1">
      <c r="B29" s="64"/>
      <c r="C29" s="47"/>
      <c r="D29" s="45" t="s">
        <v>26</v>
      </c>
      <c r="E29" s="67"/>
      <c r="F29" s="68"/>
      <c r="G29" s="68"/>
      <c r="H29" s="67"/>
      <c r="I29" s="67"/>
      <c r="J29" s="45"/>
      <c r="K29" s="45"/>
      <c r="L29" s="67"/>
      <c r="M29" s="65"/>
      <c r="N29" s="66"/>
    </row>
    <row r="30" spans="2:14" ht="15" customHeight="1">
      <c r="B30" s="64"/>
      <c r="C30" s="53"/>
      <c r="D30" s="67" t="s">
        <v>27</v>
      </c>
      <c r="E30" s="67"/>
      <c r="F30" s="45"/>
      <c r="G30" s="54"/>
      <c r="H30" s="67" t="s">
        <v>29</v>
      </c>
      <c r="I30" s="67"/>
      <c r="J30" s="45"/>
      <c r="K30" s="54"/>
      <c r="L30" s="67" t="s">
        <v>31</v>
      </c>
      <c r="M30" s="65"/>
      <c r="N30" s="66"/>
    </row>
    <row r="31" spans="2:14" ht="12" customHeight="1">
      <c r="B31" s="64"/>
      <c r="C31" s="53"/>
      <c r="D31" s="67" t="s">
        <v>28</v>
      </c>
      <c r="E31" s="67"/>
      <c r="F31" s="45"/>
      <c r="G31" s="54"/>
      <c r="H31" s="67" t="s">
        <v>30</v>
      </c>
      <c r="I31" s="67"/>
      <c r="J31" s="45"/>
      <c r="K31" s="45"/>
      <c r="L31" s="67"/>
      <c r="M31" s="65"/>
      <c r="N31" s="66"/>
    </row>
    <row r="32" spans="2:14" ht="15.75" thickBot="1">
      <c r="B32" s="2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287"/>
    </row>
    <row r="33" spans="1:14" ht="15">
      <c r="A33" s="48" t="s">
        <v>156</v>
      </c>
      <c r="B33" s="56" t="s">
        <v>213</v>
      </c>
      <c r="C33" s="5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88"/>
    </row>
    <row r="34" spans="2:14" ht="15.75" customHeight="1">
      <c r="B34" s="853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5"/>
    </row>
    <row r="35" spans="2:14" ht="15.75" customHeight="1">
      <c r="B35" s="853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5"/>
    </row>
    <row r="36" spans="2:14" ht="39.75" customHeight="1" thickBot="1">
      <c r="B36" s="856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8"/>
    </row>
    <row r="37" spans="2:14" s="15" customFormat="1" ht="13.5" customHeight="1">
      <c r="B37" s="69" t="s">
        <v>8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2:14" ht="20.25" customHeight="1">
      <c r="B38" s="859" t="s">
        <v>38</v>
      </c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1"/>
    </row>
    <row r="39" spans="2:14" ht="20.25" customHeight="1">
      <c r="B39" s="290"/>
      <c r="C39" s="843" t="str">
        <f>CONCATENATE(E12," ",F20)</f>
        <v>COMMUNITY HEALTH CENTER, INC. 004236346</v>
      </c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4"/>
    </row>
    <row r="40" spans="2:14" ht="15">
      <c r="B40" s="64"/>
      <c r="C40" s="808" t="s">
        <v>52</v>
      </c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9"/>
    </row>
    <row r="41" spans="2:14" ht="72.75" customHeight="1">
      <c r="B41" s="833" t="str">
        <f>CONCATENATE("For the Reporting Period Beginning"," ",TEXT(L20,"M/D/YYYY")," ","and Ending"," ",TEXT(N20,"M/D/YYYY")," ","and That to the Best of My Knowledge and Belief It Is a True, Correct and Complete Statement Prepared From the Books and Records of the FQHC In Accordance With Applicable Instructions, Except as Noted:")</f>
        <v>For the Reporting Period Beginning 7/1/2019 and Ending 6/30/2020 and That to the Best of My Knowledge and Belief It Is a True, Correct and Complete Statement Prepared From the Books and Records of the FQHC In Accordance With Applicable Instructions, Except as Noted:</v>
      </c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5"/>
    </row>
    <row r="42" spans="2:14" ht="15">
      <c r="B42" s="836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8"/>
    </row>
    <row r="43" spans="2:14" ht="15">
      <c r="B43" s="836"/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8"/>
    </row>
    <row r="44" spans="2:14" ht="15">
      <c r="B44" s="836"/>
      <c r="C44" s="837"/>
      <c r="D44" s="837"/>
      <c r="E44" s="837"/>
      <c r="F44" s="837"/>
      <c r="G44" s="837"/>
      <c r="H44" s="837"/>
      <c r="I44" s="837"/>
      <c r="J44" s="837"/>
      <c r="K44" s="837"/>
      <c r="L44" s="837"/>
      <c r="M44" s="837"/>
      <c r="N44" s="838"/>
    </row>
    <row r="45" spans="1:14" ht="15.75" thickBot="1">
      <c r="A45" s="48" t="s">
        <v>55</v>
      </c>
      <c r="B45" s="816" t="s">
        <v>35</v>
      </c>
      <c r="C45" s="817"/>
      <c r="D45" s="817"/>
      <c r="E45" s="817"/>
      <c r="F45" s="817"/>
      <c r="G45" s="817"/>
      <c r="H45" s="818"/>
      <c r="I45" s="822" t="s">
        <v>218</v>
      </c>
      <c r="J45" s="817"/>
      <c r="K45" s="817"/>
      <c r="L45" s="817"/>
      <c r="M45" s="817"/>
      <c r="N45" s="823"/>
    </row>
    <row r="46" spans="2:14" ht="12.75" customHeight="1">
      <c r="B46" s="827"/>
      <c r="C46" s="828"/>
      <c r="D46" s="828"/>
      <c r="E46" s="828"/>
      <c r="F46" s="828"/>
      <c r="G46" s="828"/>
      <c r="H46" s="829"/>
      <c r="I46" s="810" t="s">
        <v>804</v>
      </c>
      <c r="J46" s="811"/>
      <c r="K46" s="811"/>
      <c r="L46" s="811"/>
      <c r="M46" s="811"/>
      <c r="N46" s="812"/>
    </row>
    <row r="47" spans="2:14" ht="31.5" customHeight="1" thickBot="1">
      <c r="B47" s="830"/>
      <c r="C47" s="831"/>
      <c r="D47" s="831"/>
      <c r="E47" s="831"/>
      <c r="F47" s="831"/>
      <c r="G47" s="831"/>
      <c r="H47" s="832"/>
      <c r="I47" s="813"/>
      <c r="J47" s="814"/>
      <c r="K47" s="814"/>
      <c r="L47" s="814"/>
      <c r="M47" s="814"/>
      <c r="N47" s="815"/>
    </row>
    <row r="48" spans="2:14" ht="17.25" customHeight="1" thickBot="1">
      <c r="B48" s="816" t="s">
        <v>34</v>
      </c>
      <c r="C48" s="817"/>
      <c r="D48" s="817"/>
      <c r="E48" s="817"/>
      <c r="F48" s="817"/>
      <c r="G48" s="817"/>
      <c r="H48" s="818"/>
      <c r="I48" s="822" t="s">
        <v>33</v>
      </c>
      <c r="J48" s="817"/>
      <c r="K48" s="817"/>
      <c r="L48" s="817"/>
      <c r="M48" s="817"/>
      <c r="N48" s="823"/>
    </row>
    <row r="49" spans="2:14" ht="38.25" customHeight="1" thickBot="1">
      <c r="B49" s="819" t="s">
        <v>805</v>
      </c>
      <c r="C49" s="820"/>
      <c r="D49" s="820"/>
      <c r="E49" s="820"/>
      <c r="F49" s="820"/>
      <c r="G49" s="820"/>
      <c r="H49" s="821"/>
      <c r="I49" s="824">
        <v>44202</v>
      </c>
      <c r="J49" s="825"/>
      <c r="K49" s="825"/>
      <c r="L49" s="825"/>
      <c r="M49" s="825"/>
      <c r="N49" s="826"/>
    </row>
    <row r="50" spans="2:14" ht="1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2:14" ht="1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2:14" ht="1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2:14" ht="1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2:14" ht="1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2:14" ht="1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</row>
    <row r="56" spans="2:14" ht="1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</row>
    <row r="57" spans="2:14" ht="1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</row>
    <row r="58" spans="2:14" ht="1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</sheetData>
  <sheetProtection/>
  <mergeCells count="33">
    <mergeCell ref="B43:N43"/>
    <mergeCell ref="B44:N44"/>
    <mergeCell ref="I45:N45"/>
    <mergeCell ref="B34:N36"/>
    <mergeCell ref="E14:N14"/>
    <mergeCell ref="E15:N15"/>
    <mergeCell ref="E16:N16"/>
    <mergeCell ref="F22:H22"/>
    <mergeCell ref="B38:N38"/>
    <mergeCell ref="E17:N17"/>
    <mergeCell ref="B1:N1"/>
    <mergeCell ref="A2:N2"/>
    <mergeCell ref="A3:N3"/>
    <mergeCell ref="A4:N4"/>
    <mergeCell ref="A6:N6"/>
    <mergeCell ref="E12:N12"/>
    <mergeCell ref="F20:H20"/>
    <mergeCell ref="A7:N7"/>
    <mergeCell ref="F21:H21"/>
    <mergeCell ref="C39:N39"/>
    <mergeCell ref="F23:H23"/>
    <mergeCell ref="F24:H24"/>
    <mergeCell ref="E13:N13"/>
    <mergeCell ref="C40:N40"/>
    <mergeCell ref="I46:N47"/>
    <mergeCell ref="B48:H48"/>
    <mergeCell ref="B49:H49"/>
    <mergeCell ref="I48:N48"/>
    <mergeCell ref="I49:N49"/>
    <mergeCell ref="B45:H45"/>
    <mergeCell ref="B46:H47"/>
    <mergeCell ref="B41:N41"/>
    <mergeCell ref="B42:N42"/>
  </mergeCells>
  <printOptions horizontalCentered="1" verticalCentered="1"/>
  <pageMargins left="0.5" right="0.5" top="0.5" bottom="0.25" header="0.5" footer="0.25"/>
  <pageSetup horizontalDpi="600" verticalDpi="600" orientation="portrait" scale="80" r:id="rId1"/>
  <headerFooter alignWithMargins="0">
    <oddFooter>&amp;LDSS-16 10-24-2016&amp;RPage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6"/>
  <sheetViews>
    <sheetView zoomScalePageLayoutView="0" workbookViewId="0" topLeftCell="E1">
      <selection activeCell="D34" sqref="D34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0.140625" style="22" customWidth="1"/>
    <col min="4" max="4" width="13.00390625" style="22" customWidth="1"/>
    <col min="5" max="5" width="12.421875" style="31" customWidth="1"/>
    <col min="6" max="6" width="13.28125" style="22" bestFit="1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1" width="9.7109375" style="22" customWidth="1"/>
    <col min="12" max="12" width="18.8515625" style="22" customWidth="1"/>
    <col min="13" max="16384" width="9.7109375" style="22" customWidth="1"/>
  </cols>
  <sheetData>
    <row r="1" spans="1:15" s="18" customFormat="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75"/>
      <c r="L1" s="75"/>
      <c r="M1" s="75"/>
      <c r="N1" s="75"/>
      <c r="O1" s="75"/>
    </row>
    <row r="2" spans="1:15" s="18" customFormat="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75"/>
      <c r="L2" s="75"/>
      <c r="M2" s="75"/>
      <c r="N2" s="75"/>
      <c r="O2" s="75"/>
    </row>
    <row r="3" spans="1:15" s="18" customFormat="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75"/>
      <c r="L3" s="75"/>
      <c r="M3" s="75"/>
      <c r="N3" s="75"/>
      <c r="O3" s="75"/>
    </row>
    <row r="4" spans="1:15" s="18" customFormat="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884">
        <f>'P1 Info &amp; Certification'!L20</f>
        <v>43647</v>
      </c>
      <c r="F6" s="884"/>
      <c r="G6" s="96"/>
      <c r="H6" s="95" t="s">
        <v>7</v>
      </c>
      <c r="I6" s="884">
        <f>'P1 Info &amp; Certification'!N20</f>
        <v>44012</v>
      </c>
      <c r="J6" s="902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18" customHeight="1" thickBot="1">
      <c r="A8" s="97"/>
      <c r="B8" s="445" t="s">
        <v>59</v>
      </c>
      <c r="C8" s="920" t="str">
        <f>'P1 Info &amp; Certification'!E12</f>
        <v>COMMUNITY HEALTH CENTER, INC.</v>
      </c>
      <c r="D8" s="920"/>
      <c r="E8" s="920"/>
      <c r="F8" s="920"/>
      <c r="G8" s="920"/>
      <c r="H8" s="920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343</v>
      </c>
    </row>
    <row r="11" spans="1:10" s="18" customFormat="1" ht="19.5" customHeight="1">
      <c r="A11" s="917" t="s">
        <v>290</v>
      </c>
      <c r="B11" s="918"/>
      <c r="C11" s="918"/>
      <c r="D11" s="918"/>
      <c r="E11" s="918"/>
      <c r="F11" s="918"/>
      <c r="G11" s="918"/>
      <c r="H11" s="918"/>
      <c r="I11" s="918"/>
      <c r="J11" s="919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907" t="s">
        <v>74</v>
      </c>
      <c r="B14" s="908"/>
      <c r="C14" s="909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907"/>
      <c r="B15" s="908"/>
      <c r="C15" s="909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103</v>
      </c>
      <c r="B17" s="916" t="s">
        <v>104</v>
      </c>
      <c r="C17" s="916"/>
      <c r="D17" s="132"/>
      <c r="E17" s="133"/>
      <c r="F17" s="132"/>
      <c r="G17" s="132"/>
      <c r="H17" s="132"/>
      <c r="I17" s="132"/>
      <c r="J17" s="254"/>
    </row>
    <row r="18" spans="1:10" ht="12" customHeight="1">
      <c r="A18" s="218" t="s">
        <v>70</v>
      </c>
      <c r="B18" s="441" t="s">
        <v>105</v>
      </c>
      <c r="C18" s="446"/>
      <c r="D18" s="138"/>
      <c r="E18" s="29">
        <f>+'Attachment A'!C33</f>
        <v>207268.74</v>
      </c>
      <c r="F18" s="28">
        <f>SUM(D18:E18)</f>
        <v>207268.74</v>
      </c>
      <c r="G18" s="29"/>
      <c r="H18" s="28">
        <f aca="true" t="shared" si="0" ref="H18:H24">F18+G18</f>
        <v>207268.74</v>
      </c>
      <c r="I18" s="29"/>
      <c r="J18" s="227">
        <f aca="true" t="shared" si="1" ref="J18:J24">H18+I18</f>
        <v>207268.74</v>
      </c>
    </row>
    <row r="19" spans="1:10" ht="12" customHeight="1">
      <c r="A19" s="220" t="s">
        <v>71</v>
      </c>
      <c r="B19" s="900" t="s">
        <v>106</v>
      </c>
      <c r="C19" s="924"/>
      <c r="D19" s="29"/>
      <c r="E19" s="29">
        <f>+'Attachment A'!C34</f>
        <v>516273.87</v>
      </c>
      <c r="F19" s="28">
        <f>SUM(D19:E19)</f>
        <v>516273.87</v>
      </c>
      <c r="G19" s="29"/>
      <c r="H19" s="28">
        <f t="shared" si="0"/>
        <v>516273.87</v>
      </c>
      <c r="I19" s="29"/>
      <c r="J19" s="227">
        <f t="shared" si="1"/>
        <v>516273.87</v>
      </c>
    </row>
    <row r="20" spans="1:10" ht="12" customHeight="1">
      <c r="A20" s="220" t="s">
        <v>72</v>
      </c>
      <c r="B20" s="446" t="s">
        <v>107</v>
      </c>
      <c r="C20" s="446"/>
      <c r="D20" s="29"/>
      <c r="E20" s="29">
        <f>+'Attachment A'!C35</f>
        <v>1305153.25</v>
      </c>
      <c r="F20" s="28">
        <f aca="true" t="shared" si="2" ref="F20:F29">SUM(D20:E20)</f>
        <v>1305153.25</v>
      </c>
      <c r="G20" s="29"/>
      <c r="H20" s="28">
        <f t="shared" si="0"/>
        <v>1305153.25</v>
      </c>
      <c r="I20" s="29">
        <v>0</v>
      </c>
      <c r="J20" s="227">
        <f t="shared" si="1"/>
        <v>1305153.25</v>
      </c>
    </row>
    <row r="21" spans="1:10" ht="12" customHeight="1">
      <c r="A21" s="220" t="s">
        <v>73</v>
      </c>
      <c r="B21" s="26" t="s">
        <v>108</v>
      </c>
      <c r="C21" s="26"/>
      <c r="D21" s="29"/>
      <c r="E21" s="29">
        <f>+'Attachment A'!C36</f>
        <v>184082.16</v>
      </c>
      <c r="F21" s="28">
        <f t="shared" si="2"/>
        <v>184082.16</v>
      </c>
      <c r="G21" s="29"/>
      <c r="H21" s="28">
        <f t="shared" si="0"/>
        <v>184082.16</v>
      </c>
      <c r="I21" s="29"/>
      <c r="J21" s="227">
        <f t="shared" si="1"/>
        <v>184082.16</v>
      </c>
    </row>
    <row r="22" spans="1:10" ht="12" customHeight="1">
      <c r="A22" s="220" t="s">
        <v>80</v>
      </c>
      <c r="B22" s="26" t="s">
        <v>109</v>
      </c>
      <c r="C22" s="26"/>
      <c r="D22" s="29"/>
      <c r="E22" s="29">
        <f>+'Attachment A'!C37</f>
        <v>1018416.93</v>
      </c>
      <c r="F22" s="28">
        <f t="shared" si="2"/>
        <v>1018416.93</v>
      </c>
      <c r="G22" s="29"/>
      <c r="H22" s="28">
        <f t="shared" si="0"/>
        <v>1018416.93</v>
      </c>
      <c r="I22" s="29"/>
      <c r="J22" s="227">
        <f t="shared" si="1"/>
        <v>1018416.93</v>
      </c>
    </row>
    <row r="23" spans="1:10" ht="12" customHeight="1">
      <c r="A23" s="220" t="s">
        <v>81</v>
      </c>
      <c r="B23" s="26" t="s">
        <v>110</v>
      </c>
      <c r="C23" s="26"/>
      <c r="D23" s="29"/>
      <c r="E23" s="29"/>
      <c r="F23" s="28">
        <f t="shared" si="2"/>
        <v>0</v>
      </c>
      <c r="G23" s="29"/>
      <c r="H23" s="28">
        <f t="shared" si="0"/>
        <v>0</v>
      </c>
      <c r="I23" s="29"/>
      <c r="J23" s="227">
        <f t="shared" si="1"/>
        <v>0</v>
      </c>
    </row>
    <row r="24" spans="1:10" ht="12" customHeight="1">
      <c r="A24" s="220" t="s">
        <v>112</v>
      </c>
      <c r="B24" s="26" t="s">
        <v>111</v>
      </c>
      <c r="C24" s="26"/>
      <c r="D24" s="29"/>
      <c r="E24" s="29">
        <f>+'Attachment A'!C38</f>
        <v>1813735.16</v>
      </c>
      <c r="F24" s="28">
        <f t="shared" si="2"/>
        <v>1813735.16</v>
      </c>
      <c r="G24" s="29"/>
      <c r="H24" s="28">
        <f t="shared" si="0"/>
        <v>1813735.16</v>
      </c>
      <c r="I24" s="29"/>
      <c r="J24" s="227">
        <f t="shared" si="1"/>
        <v>1813735.16</v>
      </c>
    </row>
    <row r="25" spans="1:10" ht="12" customHeight="1">
      <c r="A25" s="220" t="s">
        <v>114</v>
      </c>
      <c r="B25" s="26" t="s">
        <v>44</v>
      </c>
      <c r="C25" s="26"/>
      <c r="D25" s="29"/>
      <c r="E25" s="29"/>
      <c r="F25" s="28"/>
      <c r="G25" s="29"/>
      <c r="H25" s="28"/>
      <c r="I25" s="29"/>
      <c r="J25" s="227"/>
    </row>
    <row r="26" spans="1:10" ht="12" customHeight="1">
      <c r="A26" s="220"/>
      <c r="B26" s="466"/>
      <c r="C26" s="470" t="s">
        <v>454</v>
      </c>
      <c r="D26" s="29"/>
      <c r="E26" s="29">
        <f>+'Attachment A'!C39</f>
        <v>37300.93000000001</v>
      </c>
      <c r="F26" s="28">
        <f t="shared" si="2"/>
        <v>37300.93000000001</v>
      </c>
      <c r="G26" s="29"/>
      <c r="H26" s="28">
        <f>F26+G26</f>
        <v>37300.93000000001</v>
      </c>
      <c r="I26" s="29"/>
      <c r="J26" s="227">
        <f>H26+I26</f>
        <v>37300.93000000001</v>
      </c>
    </row>
    <row r="27" spans="1:10" ht="12" customHeight="1">
      <c r="A27" s="220"/>
      <c r="B27" s="466"/>
      <c r="C27" s="461"/>
      <c r="D27" s="29"/>
      <c r="E27" s="29"/>
      <c r="F27" s="28">
        <f t="shared" si="2"/>
        <v>0</v>
      </c>
      <c r="G27" s="29"/>
      <c r="H27" s="28">
        <f>F27+G27</f>
        <v>0</v>
      </c>
      <c r="I27" s="29"/>
      <c r="J27" s="227">
        <f>H27+I27</f>
        <v>0</v>
      </c>
    </row>
    <row r="28" spans="1:10" ht="12" customHeight="1">
      <c r="A28" s="223"/>
      <c r="B28" s="465"/>
      <c r="C28" s="462"/>
      <c r="D28" s="29"/>
      <c r="E28" s="29"/>
      <c r="F28" s="28">
        <f t="shared" si="2"/>
        <v>0</v>
      </c>
      <c r="G28" s="29"/>
      <c r="H28" s="28">
        <f>F28+G28</f>
        <v>0</v>
      </c>
      <c r="I28" s="29"/>
      <c r="J28" s="227">
        <f>H28+I28</f>
        <v>0</v>
      </c>
    </row>
    <row r="29" spans="1:10" ht="12" customHeight="1">
      <c r="A29" s="223"/>
      <c r="B29" s="465"/>
      <c r="C29" s="462"/>
      <c r="D29" s="29"/>
      <c r="E29" s="29"/>
      <c r="F29" s="28">
        <f t="shared" si="2"/>
        <v>0</v>
      </c>
      <c r="G29" s="29"/>
      <c r="H29" s="28">
        <f>F29+G29</f>
        <v>0</v>
      </c>
      <c r="I29" s="29"/>
      <c r="J29" s="227">
        <f>H29+I29</f>
        <v>0</v>
      </c>
    </row>
    <row r="30" spans="1:10" ht="12" customHeight="1">
      <c r="A30" s="223"/>
      <c r="B30" s="106"/>
      <c r="C30" s="108"/>
      <c r="D30" s="105"/>
      <c r="E30" s="29"/>
      <c r="F30" s="28">
        <f>SUM(D30:E30)</f>
        <v>0</v>
      </c>
      <c r="G30" s="29"/>
      <c r="H30" s="28">
        <f>F30+G30</f>
        <v>0</v>
      </c>
      <c r="I30" s="29"/>
      <c r="J30" s="227">
        <f>H30+I30</f>
        <v>0</v>
      </c>
    </row>
    <row r="31" spans="1:10" ht="12" customHeight="1">
      <c r="A31" s="228" t="s">
        <v>113</v>
      </c>
      <c r="B31" s="111" t="s">
        <v>227</v>
      </c>
      <c r="C31" s="127"/>
      <c r="D31" s="128">
        <f aca="true" t="shared" si="3" ref="D31:J31">SUM(D17:D30)</f>
        <v>0</v>
      </c>
      <c r="E31" s="128">
        <f t="shared" si="3"/>
        <v>5082231.04</v>
      </c>
      <c r="F31" s="128">
        <f t="shared" si="3"/>
        <v>5082231.04</v>
      </c>
      <c r="G31" s="128">
        <f t="shared" si="3"/>
        <v>0</v>
      </c>
      <c r="H31" s="128">
        <f t="shared" si="3"/>
        <v>5082231.04</v>
      </c>
      <c r="I31" s="128">
        <f t="shared" si="3"/>
        <v>0</v>
      </c>
      <c r="J31" s="229">
        <f t="shared" si="3"/>
        <v>5082231.04</v>
      </c>
    </row>
    <row r="32" spans="1:10" ht="12" customHeight="1">
      <c r="A32" s="255"/>
      <c r="B32" s="189"/>
      <c r="C32" s="189"/>
      <c r="D32" s="190"/>
      <c r="E32" s="191"/>
      <c r="F32" s="190"/>
      <c r="G32" s="190"/>
      <c r="H32" s="192"/>
      <c r="I32" s="190"/>
      <c r="J32" s="256"/>
    </row>
    <row r="33" spans="1:10" ht="12" customHeight="1">
      <c r="A33" s="244" t="s">
        <v>115</v>
      </c>
      <c r="B33" s="916" t="s">
        <v>116</v>
      </c>
      <c r="C33" s="916"/>
      <c r="D33" s="100"/>
      <c r="E33" s="101"/>
      <c r="F33" s="8"/>
      <c r="G33" s="100"/>
      <c r="H33" s="8"/>
      <c r="I33" s="100"/>
      <c r="J33" s="217"/>
    </row>
    <row r="34" spans="1:10" ht="12.75">
      <c r="A34" s="218" t="s">
        <v>70</v>
      </c>
      <c r="B34" s="903" t="s">
        <v>117</v>
      </c>
      <c r="C34" s="904"/>
      <c r="D34" s="34">
        <f>+'Attachment A'!AM21</f>
        <v>15988038.88</v>
      </c>
      <c r="E34" s="34">
        <f>+'Attachment A'!AN21</f>
        <v>3157771.5100000002</v>
      </c>
      <c r="F34" s="28">
        <f>SUM(D34:E34)</f>
        <v>19145810.39</v>
      </c>
      <c r="G34" s="34"/>
      <c r="H34" s="36">
        <f aca="true" t="shared" si="4" ref="H34:H47">F34+G34</f>
        <v>19145810.39</v>
      </c>
      <c r="I34" s="37"/>
      <c r="J34" s="219">
        <f aca="true" t="shared" si="5" ref="J34:J48">H34+I34</f>
        <v>19145810.39</v>
      </c>
    </row>
    <row r="35" spans="1:10" ht="12.75">
      <c r="A35" s="220" t="s">
        <v>71</v>
      </c>
      <c r="B35" s="900" t="s">
        <v>118</v>
      </c>
      <c r="C35" s="901"/>
      <c r="D35" s="38"/>
      <c r="E35" s="38">
        <v>0</v>
      </c>
      <c r="F35" s="28">
        <f>SUM(D35:E35)</f>
        <v>0</v>
      </c>
      <c r="G35" s="38"/>
      <c r="H35" s="36">
        <f t="shared" si="4"/>
        <v>0</v>
      </c>
      <c r="I35" s="39"/>
      <c r="J35" s="221">
        <f t="shared" si="5"/>
        <v>0</v>
      </c>
    </row>
    <row r="36" spans="1:10" ht="12.75">
      <c r="A36" s="220" t="s">
        <v>72</v>
      </c>
      <c r="B36" s="441" t="s">
        <v>119</v>
      </c>
      <c r="C36" s="442"/>
      <c r="D36" s="38"/>
      <c r="E36" s="38">
        <f>+'Attachment A'!C40</f>
        <v>379023.23</v>
      </c>
      <c r="F36" s="28">
        <f aca="true" t="shared" si="6" ref="F36:F47">SUM(D36:E36)</f>
        <v>379023.23</v>
      </c>
      <c r="G36" s="38"/>
      <c r="H36" s="36">
        <f t="shared" si="4"/>
        <v>379023.23</v>
      </c>
      <c r="I36" s="39"/>
      <c r="J36" s="221">
        <f t="shared" si="5"/>
        <v>379023.23</v>
      </c>
    </row>
    <row r="37" spans="1:10" ht="12.75">
      <c r="A37" s="220" t="s">
        <v>73</v>
      </c>
      <c r="B37" s="441" t="s">
        <v>120</v>
      </c>
      <c r="C37" s="442"/>
      <c r="D37" s="38"/>
      <c r="E37" s="38">
        <f>+'Attachment A'!C41</f>
        <v>398298.7799999998</v>
      </c>
      <c r="F37" s="28">
        <f t="shared" si="6"/>
        <v>398298.7799999998</v>
      </c>
      <c r="G37" s="38"/>
      <c r="H37" s="36">
        <f t="shared" si="4"/>
        <v>398298.7799999998</v>
      </c>
      <c r="I37" s="39"/>
      <c r="J37" s="221">
        <f t="shared" si="5"/>
        <v>398298.7799999998</v>
      </c>
    </row>
    <row r="38" spans="1:10" ht="12.75">
      <c r="A38" s="220" t="s">
        <v>80</v>
      </c>
      <c r="B38" s="441" t="s">
        <v>121</v>
      </c>
      <c r="C38" s="442"/>
      <c r="D38" s="38"/>
      <c r="E38" s="38">
        <f>+'Attachment A'!C42</f>
        <v>184888.45</v>
      </c>
      <c r="F38" s="28">
        <f t="shared" si="6"/>
        <v>184888.45</v>
      </c>
      <c r="G38" s="38"/>
      <c r="H38" s="36">
        <f t="shared" si="4"/>
        <v>184888.45</v>
      </c>
      <c r="I38" s="39"/>
      <c r="J38" s="221">
        <f t="shared" si="5"/>
        <v>184888.45</v>
      </c>
    </row>
    <row r="39" spans="1:10" ht="12.75">
      <c r="A39" s="220" t="s">
        <v>81</v>
      </c>
      <c r="B39" s="441" t="s">
        <v>106</v>
      </c>
      <c r="C39" s="442"/>
      <c r="D39" s="38"/>
      <c r="E39" s="38"/>
      <c r="F39" s="28">
        <f t="shared" si="6"/>
        <v>0</v>
      </c>
      <c r="G39" s="38"/>
      <c r="H39" s="36">
        <f>F39+G39</f>
        <v>0</v>
      </c>
      <c r="I39" s="39"/>
      <c r="J39" s="221">
        <f>H39+I39</f>
        <v>0</v>
      </c>
    </row>
    <row r="40" spans="1:10" ht="12.75">
      <c r="A40" s="220" t="s">
        <v>112</v>
      </c>
      <c r="B40" s="441" t="s">
        <v>122</v>
      </c>
      <c r="C40" s="442"/>
      <c r="D40" s="139"/>
      <c r="E40" s="38">
        <f>+'Attachment A'!C43</f>
        <v>770587.71</v>
      </c>
      <c r="F40" s="28">
        <f t="shared" si="6"/>
        <v>770587.71</v>
      </c>
      <c r="G40" s="38"/>
      <c r="H40" s="36">
        <f t="shared" si="4"/>
        <v>770587.71</v>
      </c>
      <c r="I40" s="39"/>
      <c r="J40" s="221">
        <f t="shared" si="5"/>
        <v>770587.71</v>
      </c>
    </row>
    <row r="41" spans="1:10" ht="12.75">
      <c r="A41" s="220" t="s">
        <v>114</v>
      </c>
      <c r="B41" s="446" t="s">
        <v>359</v>
      </c>
      <c r="C41" s="442"/>
      <c r="D41" s="139"/>
      <c r="E41" s="38"/>
      <c r="F41" s="28">
        <f t="shared" si="6"/>
        <v>0</v>
      </c>
      <c r="G41" s="38"/>
      <c r="H41" s="36">
        <f t="shared" si="4"/>
        <v>0</v>
      </c>
      <c r="I41" s="39"/>
      <c r="J41" s="221">
        <f t="shared" si="5"/>
        <v>0</v>
      </c>
    </row>
    <row r="42" spans="1:10" ht="12.75">
      <c r="A42" s="220" t="s">
        <v>113</v>
      </c>
      <c r="B42" s="446" t="s">
        <v>123</v>
      </c>
      <c r="C42" s="442"/>
      <c r="D42" s="139"/>
      <c r="E42" s="38"/>
      <c r="F42" s="28">
        <f t="shared" si="6"/>
        <v>0</v>
      </c>
      <c r="G42" s="38"/>
      <c r="H42" s="36">
        <f t="shared" si="4"/>
        <v>0</v>
      </c>
      <c r="I42" s="39"/>
      <c r="J42" s="221">
        <f t="shared" si="5"/>
        <v>0</v>
      </c>
    </row>
    <row r="43" spans="1:10" ht="12.75">
      <c r="A43" s="220" t="s">
        <v>124</v>
      </c>
      <c r="B43" s="26" t="s">
        <v>44</v>
      </c>
      <c r="C43" s="442"/>
      <c r="D43" s="139"/>
      <c r="E43" s="38"/>
      <c r="F43" s="28"/>
      <c r="G43" s="38"/>
      <c r="H43" s="36"/>
      <c r="I43" s="39"/>
      <c r="J43" s="221"/>
    </row>
    <row r="44" spans="1:10" ht="12.75">
      <c r="A44" s="220"/>
      <c r="B44" s="465"/>
      <c r="C44" s="460" t="s">
        <v>446</v>
      </c>
      <c r="D44" s="38"/>
      <c r="E44" s="38">
        <f>+'Attachment A'!C44</f>
        <v>7580406.940000002</v>
      </c>
      <c r="F44" s="28">
        <f t="shared" si="6"/>
        <v>7580406.940000002</v>
      </c>
      <c r="G44" s="38"/>
      <c r="H44" s="36">
        <f t="shared" si="4"/>
        <v>7580406.940000002</v>
      </c>
      <c r="I44" s="39"/>
      <c r="J44" s="221">
        <f t="shared" si="5"/>
        <v>7580406.940000002</v>
      </c>
    </row>
    <row r="45" spans="1:11" ht="12.75">
      <c r="A45" s="220"/>
      <c r="B45" s="465"/>
      <c r="C45" s="462"/>
      <c r="D45" s="38"/>
      <c r="E45" s="38"/>
      <c r="F45" s="28">
        <f t="shared" si="6"/>
        <v>0</v>
      </c>
      <c r="G45" s="38"/>
      <c r="H45" s="40">
        <f t="shared" si="4"/>
        <v>0</v>
      </c>
      <c r="I45" s="38"/>
      <c r="J45" s="222">
        <f t="shared" si="5"/>
        <v>0</v>
      </c>
      <c r="K45" s="33"/>
    </row>
    <row r="46" spans="1:11" ht="12.75">
      <c r="A46" s="220"/>
      <c r="B46" s="465"/>
      <c r="C46" s="462"/>
      <c r="D46" s="38"/>
      <c r="E46" s="38"/>
      <c r="F46" s="28">
        <f t="shared" si="6"/>
        <v>0</v>
      </c>
      <c r="G46" s="38"/>
      <c r="H46" s="40">
        <f>F46+G46</f>
        <v>0</v>
      </c>
      <c r="I46" s="38"/>
      <c r="J46" s="222">
        <f>H46+I46</f>
        <v>0</v>
      </c>
      <c r="K46" s="33"/>
    </row>
    <row r="47" spans="1:11" ht="12.75">
      <c r="A47" s="220"/>
      <c r="B47" s="465"/>
      <c r="C47" s="462"/>
      <c r="D47" s="38"/>
      <c r="E47" s="38"/>
      <c r="F47" s="28">
        <f t="shared" si="6"/>
        <v>0</v>
      </c>
      <c r="G47" s="38"/>
      <c r="H47" s="40">
        <f t="shared" si="4"/>
        <v>0</v>
      </c>
      <c r="I47" s="38"/>
      <c r="J47" s="222">
        <f t="shared" si="5"/>
        <v>0</v>
      </c>
      <c r="K47" s="33"/>
    </row>
    <row r="48" spans="1:11" ht="12.75" customHeight="1">
      <c r="A48" s="223"/>
      <c r="B48" s="110"/>
      <c r="C48" s="460"/>
      <c r="D48" s="104"/>
      <c r="E48" s="41"/>
      <c r="F48" s="28">
        <f>SUM(D48:E48)</f>
        <v>0</v>
      </c>
      <c r="G48" s="41"/>
      <c r="H48" s="40">
        <f>F48+G48</f>
        <v>0</v>
      </c>
      <c r="I48" s="41"/>
      <c r="J48" s="222">
        <f t="shared" si="5"/>
        <v>0</v>
      </c>
      <c r="K48" s="33"/>
    </row>
    <row r="49" spans="1:10" s="126" customFormat="1" ht="12.75">
      <c r="A49" s="224" t="s">
        <v>125</v>
      </c>
      <c r="B49" s="913" t="s">
        <v>228</v>
      </c>
      <c r="C49" s="914"/>
      <c r="D49" s="129">
        <f aca="true" t="shared" si="7" ref="D49:J49">SUM(D34:D48)</f>
        <v>15988038.88</v>
      </c>
      <c r="E49" s="129">
        <f t="shared" si="7"/>
        <v>12470976.620000001</v>
      </c>
      <c r="F49" s="129">
        <f t="shared" si="7"/>
        <v>28459015.500000004</v>
      </c>
      <c r="G49" s="129">
        <f t="shared" si="7"/>
        <v>0</v>
      </c>
      <c r="H49" s="129">
        <f t="shared" si="7"/>
        <v>28459015.500000004</v>
      </c>
      <c r="I49" s="129">
        <f t="shared" si="7"/>
        <v>0</v>
      </c>
      <c r="J49" s="225">
        <f t="shared" si="7"/>
        <v>28459015.500000004</v>
      </c>
    </row>
    <row r="50" spans="1:10" ht="15.75" customHeight="1" thickBot="1">
      <c r="A50" s="257" t="s">
        <v>126</v>
      </c>
      <c r="B50" s="922" t="s">
        <v>338</v>
      </c>
      <c r="C50" s="923"/>
      <c r="D50" s="327">
        <f>D49+D31</f>
        <v>15988038.88</v>
      </c>
      <c r="E50" s="327">
        <f aca="true" t="shared" si="8" ref="E50:J50">E49+E31</f>
        <v>17553207.66</v>
      </c>
      <c r="F50" s="327">
        <f t="shared" si="8"/>
        <v>33541246.540000003</v>
      </c>
      <c r="G50" s="327">
        <f t="shared" si="8"/>
        <v>0</v>
      </c>
      <c r="H50" s="327">
        <f t="shared" si="8"/>
        <v>33541246.540000003</v>
      </c>
      <c r="I50" s="327">
        <f t="shared" si="8"/>
        <v>0</v>
      </c>
      <c r="J50" s="328">
        <f t="shared" si="8"/>
        <v>33541246.540000003</v>
      </c>
    </row>
    <row r="51" spans="1:10" ht="13.5" thickTop="1">
      <c r="A51" s="258"/>
      <c r="B51" s="446"/>
      <c r="C51" s="446"/>
      <c r="D51" s="467"/>
      <c r="E51" s="467"/>
      <c r="F51" s="329"/>
      <c r="G51" s="467"/>
      <c r="H51" s="329"/>
      <c r="I51" s="467"/>
      <c r="J51" s="330"/>
    </row>
    <row r="52" spans="1:10" ht="19.5" customHeight="1" thickBot="1">
      <c r="A52" s="259" t="s">
        <v>127</v>
      </c>
      <c r="B52" s="922" t="s">
        <v>339</v>
      </c>
      <c r="C52" s="923"/>
      <c r="D52" s="327">
        <f>D50+'P6 Form A-4 - Non-Allow Other'!D37</f>
        <v>74624732.9950804</v>
      </c>
      <c r="E52" s="327">
        <f>E50+'P6 Form A-4 - Non-Allow Other'!E37</f>
        <v>59074956</v>
      </c>
      <c r="F52" s="327">
        <f>F50+'P6 Form A-4 - Non-Allow Other'!F37</f>
        <v>133699688.99508043</v>
      </c>
      <c r="G52" s="327">
        <f>G50+'P6 Form A-4 - Non-Allow Other'!G37</f>
        <v>0</v>
      </c>
      <c r="H52" s="327">
        <f>H50+'P6 Form A-4 - Non-Allow Other'!H37</f>
        <v>133699688.99508043</v>
      </c>
      <c r="I52" s="327">
        <f>I50+'P6 Form A-4 - Non-Allow Other'!I37</f>
        <v>0</v>
      </c>
      <c r="J52" s="328">
        <f>J50+'P6 Form A-4 - Non-Allow Other'!J37</f>
        <v>133699688.99508043</v>
      </c>
    </row>
    <row r="53" spans="1:11" ht="13.5" thickTop="1">
      <c r="A53" s="260"/>
      <c r="B53" s="925"/>
      <c r="C53" s="925"/>
      <c r="D53" s="140"/>
      <c r="E53" s="141"/>
      <c r="F53" s="140"/>
      <c r="G53" s="140"/>
      <c r="H53" s="140"/>
      <c r="I53" s="140"/>
      <c r="J53" s="261"/>
      <c r="K53" s="142"/>
    </row>
    <row r="54" spans="1:10" ht="13.5" thickBot="1">
      <c r="A54" s="262"/>
      <c r="B54" s="468" t="s">
        <v>340</v>
      </c>
      <c r="C54" s="263"/>
      <c r="D54" s="469"/>
      <c r="E54" s="469"/>
      <c r="F54" s="265"/>
      <c r="G54" s="469"/>
      <c r="H54" s="265"/>
      <c r="I54" s="469"/>
      <c r="J54" s="266"/>
    </row>
    <row r="55" spans="1:10" ht="12.75">
      <c r="A55" s="134"/>
      <c r="B55" s="924"/>
      <c r="C55" s="924"/>
      <c r="D55" s="135"/>
      <c r="E55" s="135"/>
      <c r="F55" s="136"/>
      <c r="G55" s="135"/>
      <c r="H55" s="136"/>
      <c r="I55" s="135"/>
      <c r="J55" s="136"/>
    </row>
    <row r="56" spans="1:10" ht="12.75">
      <c r="A56" s="134"/>
      <c r="B56" s="24"/>
      <c r="C56" s="24"/>
      <c r="D56" s="135"/>
      <c r="E56" s="135"/>
      <c r="F56" s="136"/>
      <c r="G56" s="135"/>
      <c r="H56" s="136"/>
      <c r="I56" s="135"/>
      <c r="J56" s="136"/>
    </row>
  </sheetData>
  <sheetProtection password="E1AE" sheet="1" formatColumns="0" formatRows="0"/>
  <mergeCells count="19">
    <mergeCell ref="B49:C49"/>
    <mergeCell ref="B50:C50"/>
    <mergeCell ref="B53:C53"/>
    <mergeCell ref="B55:C55"/>
    <mergeCell ref="B52:C52"/>
    <mergeCell ref="A11:J11"/>
    <mergeCell ref="A14:C15"/>
    <mergeCell ref="B33:C33"/>
    <mergeCell ref="B34:C34"/>
    <mergeCell ref="B35:C35"/>
    <mergeCell ref="B19:C19"/>
    <mergeCell ref="B17:C17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fitToHeight="1" fitToWidth="1" horizontalDpi="600" verticalDpi="600" orientation="landscape" scale="70" r:id="rId1"/>
  <headerFooter alignWithMargins="0">
    <oddFooter>&amp;LDSS-16 10-24-2016&amp;RPage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zoomScalePageLayoutView="0" workbookViewId="0" topLeftCell="E1">
      <selection activeCell="G19" sqref="G19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75"/>
      <c r="K1" s="75"/>
      <c r="L1" s="75"/>
      <c r="M1" s="75"/>
      <c r="N1" s="75"/>
      <c r="O1" s="75"/>
      <c r="P1" s="75"/>
      <c r="Q1" s="75"/>
      <c r="R1" s="75"/>
    </row>
    <row r="2" spans="1:18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75"/>
      <c r="K2" s="75"/>
      <c r="L2" s="75"/>
      <c r="M2" s="75"/>
      <c r="N2" s="75"/>
      <c r="O2" s="75"/>
      <c r="P2" s="75"/>
      <c r="Q2" s="75"/>
      <c r="R2" s="75"/>
    </row>
    <row r="3" spans="1:18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75"/>
      <c r="K3" s="75"/>
      <c r="L3" s="75"/>
      <c r="M3" s="75"/>
      <c r="N3" s="75"/>
      <c r="O3" s="75"/>
      <c r="P3" s="75"/>
      <c r="Q3" s="75"/>
      <c r="R3" s="75"/>
    </row>
    <row r="4" spans="1:18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85"/>
      <c r="K5" s="85"/>
      <c r="L5" s="85"/>
      <c r="M5" s="85"/>
      <c r="N5" s="85"/>
      <c r="O5" s="85"/>
      <c r="P5" s="85"/>
      <c r="Q5" s="85"/>
      <c r="R5" s="85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43647</v>
      </c>
      <c r="G6" s="148"/>
      <c r="H6" s="95" t="str">
        <f>'P1 Info &amp; Certification'!M20</f>
        <v>To</v>
      </c>
      <c r="I6" s="443">
        <f>'P1 Info &amp; Certification'!N20</f>
        <v>44012</v>
      </c>
      <c r="J6" s="147"/>
      <c r="K6" s="89"/>
      <c r="L6" s="13"/>
      <c r="M6" s="88"/>
      <c r="N6" s="32"/>
      <c r="O6" s="147"/>
      <c r="P6" s="147"/>
      <c r="Q6" s="32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885"/>
      <c r="I8" s="464"/>
      <c r="J8" s="145"/>
      <c r="K8" s="145"/>
      <c r="L8" s="145"/>
      <c r="M8" s="145"/>
      <c r="N8" s="145"/>
      <c r="O8" s="145"/>
      <c r="P8" s="145"/>
      <c r="Q8" s="145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43"/>
      <c r="K9" s="43"/>
      <c r="L9" s="43"/>
      <c r="M9" s="43"/>
      <c r="N9" s="43"/>
      <c r="O9" s="43"/>
      <c r="P9" s="43"/>
      <c r="Q9" s="43"/>
      <c r="R9" s="146"/>
      <c r="S9" s="146"/>
    </row>
    <row r="10" spans="1:9" ht="1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9" ht="28.5" customHeight="1">
      <c r="A12" s="963" t="s">
        <v>273</v>
      </c>
      <c r="B12" s="964"/>
      <c r="C12" s="964"/>
      <c r="D12" s="964"/>
      <c r="E12" s="965"/>
      <c r="F12" s="965"/>
      <c r="G12" s="965"/>
      <c r="H12" s="964"/>
      <c r="I12" s="966"/>
    </row>
    <row r="13" spans="1:9" ht="12.75">
      <c r="A13" s="948" t="s">
        <v>267</v>
      </c>
      <c r="B13" s="949"/>
      <c r="C13" s="949"/>
      <c r="D13" s="949"/>
      <c r="E13" s="369"/>
      <c r="F13" s="366"/>
      <c r="G13" s="413"/>
      <c r="H13" s="967" t="s">
        <v>271</v>
      </c>
      <c r="I13" s="968"/>
    </row>
    <row r="14" spans="1:9" ht="12.75">
      <c r="A14" s="950"/>
      <c r="B14" s="951"/>
      <c r="C14" s="951"/>
      <c r="D14" s="951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952"/>
      <c r="B15" s="953"/>
      <c r="C15" s="953"/>
      <c r="D15" s="953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969" t="s">
        <v>268</v>
      </c>
      <c r="C17" s="970"/>
      <c r="D17" s="970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9" ht="19.5" customHeight="1">
      <c r="A18" s="207" t="s">
        <v>83</v>
      </c>
      <c r="B18" s="962" t="s">
        <v>229</v>
      </c>
      <c r="C18" s="953"/>
      <c r="D18" s="953"/>
      <c r="E18" s="371"/>
      <c r="F18" s="412"/>
      <c r="G18" s="338"/>
      <c r="H18" s="339"/>
      <c r="I18" s="342"/>
    </row>
    <row r="19" spans="1:9" ht="19.5" customHeight="1">
      <c r="A19" s="474" t="s">
        <v>49</v>
      </c>
      <c r="B19" s="954" t="s">
        <v>477</v>
      </c>
      <c r="C19" s="955"/>
      <c r="D19" s="956"/>
      <c r="E19" s="475"/>
      <c r="F19" s="394">
        <f>+'P3 Form A-1 Health Care'!D19</f>
        <v>7625790.157564886</v>
      </c>
      <c r="G19" s="476">
        <f>+'Form B-1 Detail'!G60</f>
        <v>90205</v>
      </c>
      <c r="H19" s="394">
        <f>+'Form B-1 Detail'!H60</f>
        <v>65327.47394139935</v>
      </c>
      <c r="I19" s="373">
        <f>ROUND(H19/2080,2)</f>
        <v>31.41</v>
      </c>
    </row>
    <row r="20" spans="1:9" ht="19.5" customHeight="1">
      <c r="A20" s="474" t="s">
        <v>50</v>
      </c>
      <c r="B20" s="954"/>
      <c r="C20" s="955"/>
      <c r="D20" s="956"/>
      <c r="E20" s="475"/>
      <c r="F20" s="394"/>
      <c r="G20" s="477"/>
      <c r="H20" s="394"/>
      <c r="I20" s="373">
        <f aca="true" t="shared" si="0" ref="I20:I28">ROUND(H20/2080,2)</f>
        <v>0</v>
      </c>
    </row>
    <row r="21" spans="1:9" ht="19.5" customHeight="1">
      <c r="A21" s="474" t="s">
        <v>82</v>
      </c>
      <c r="B21" s="954"/>
      <c r="C21" s="955"/>
      <c r="D21" s="956"/>
      <c r="E21" s="475"/>
      <c r="F21" s="394"/>
      <c r="G21" s="476"/>
      <c r="H21" s="394"/>
      <c r="I21" s="373">
        <f t="shared" si="0"/>
        <v>0</v>
      </c>
    </row>
    <row r="22" spans="1:9" ht="19.5" customHeight="1">
      <c r="A22" s="474" t="s">
        <v>51</v>
      </c>
      <c r="B22" s="954"/>
      <c r="C22" s="955"/>
      <c r="D22" s="956"/>
      <c r="E22" s="475"/>
      <c r="F22" s="394"/>
      <c r="G22" s="477"/>
      <c r="H22" s="394"/>
      <c r="I22" s="373">
        <f t="shared" si="0"/>
        <v>0</v>
      </c>
    </row>
    <row r="23" spans="1:9" ht="19.5" customHeight="1">
      <c r="A23" s="474" t="s">
        <v>156</v>
      </c>
      <c r="B23" s="954"/>
      <c r="C23" s="955"/>
      <c r="D23" s="956"/>
      <c r="E23" s="475"/>
      <c r="F23" s="394"/>
      <c r="G23" s="477"/>
      <c r="H23" s="394"/>
      <c r="I23" s="373">
        <f t="shared" si="0"/>
        <v>0</v>
      </c>
    </row>
    <row r="24" spans="1:9" ht="19.5" customHeight="1">
      <c r="A24" s="474" t="s">
        <v>55</v>
      </c>
      <c r="B24" s="954"/>
      <c r="C24" s="955"/>
      <c r="D24" s="956"/>
      <c r="E24" s="475"/>
      <c r="F24" s="394"/>
      <c r="G24" s="477"/>
      <c r="H24" s="394"/>
      <c r="I24" s="373">
        <f t="shared" si="0"/>
        <v>0</v>
      </c>
    </row>
    <row r="25" spans="1:9" ht="19.5" customHeight="1">
      <c r="A25" s="474" t="s">
        <v>56</v>
      </c>
      <c r="B25" s="954"/>
      <c r="C25" s="955"/>
      <c r="D25" s="956"/>
      <c r="E25" s="475"/>
      <c r="F25" s="394"/>
      <c r="G25" s="477"/>
      <c r="H25" s="394"/>
      <c r="I25" s="373">
        <f t="shared" si="0"/>
        <v>0</v>
      </c>
    </row>
    <row r="26" spans="1:9" ht="19.5" customHeight="1">
      <c r="A26" s="474" t="s">
        <v>161</v>
      </c>
      <c r="B26" s="954"/>
      <c r="C26" s="955"/>
      <c r="D26" s="956"/>
      <c r="E26" s="475"/>
      <c r="F26" s="394"/>
      <c r="G26" s="477"/>
      <c r="H26" s="394"/>
      <c r="I26" s="373">
        <f t="shared" si="0"/>
        <v>0</v>
      </c>
    </row>
    <row r="27" spans="1:9" ht="19.5" customHeight="1">
      <c r="A27" s="474" t="s">
        <v>162</v>
      </c>
      <c r="B27" s="954"/>
      <c r="C27" s="955"/>
      <c r="D27" s="956"/>
      <c r="E27" s="475"/>
      <c r="F27" s="394"/>
      <c r="G27" s="477"/>
      <c r="H27" s="394"/>
      <c r="I27" s="373">
        <f t="shared" si="0"/>
        <v>0</v>
      </c>
    </row>
    <row r="28" spans="1:9" ht="19.5" customHeight="1">
      <c r="A28" s="474" t="s">
        <v>163</v>
      </c>
      <c r="B28" s="954"/>
      <c r="C28" s="955"/>
      <c r="D28" s="956"/>
      <c r="E28" s="475"/>
      <c r="F28" s="394"/>
      <c r="G28" s="477"/>
      <c r="H28" s="394"/>
      <c r="I28" s="373">
        <f t="shared" si="0"/>
        <v>0</v>
      </c>
    </row>
    <row r="29" spans="1:9" ht="24.75" customHeight="1" thickBot="1">
      <c r="A29" s="253"/>
      <c r="B29" s="957" t="s">
        <v>255</v>
      </c>
      <c r="C29" s="958"/>
      <c r="D29" s="959"/>
      <c r="E29" s="397"/>
      <c r="F29" s="473">
        <f>SUM(F19:F28)</f>
        <v>7625790.157564886</v>
      </c>
      <c r="G29" s="473">
        <f>SUM(G19:G28)</f>
        <v>90205</v>
      </c>
      <c r="H29" s="473">
        <f>SUM(H19:H28)</f>
        <v>65327.47394139935</v>
      </c>
      <c r="I29" s="395">
        <f>SUM(I19:I28)</f>
        <v>31.41</v>
      </c>
    </row>
    <row r="30" spans="1:10" ht="19.5" customHeight="1" thickTop="1">
      <c r="A30" s="253"/>
      <c r="B30" s="960"/>
      <c r="C30" s="960"/>
      <c r="D30" s="960"/>
      <c r="E30" s="454"/>
      <c r="F30" s="295"/>
      <c r="G30" s="294"/>
      <c r="H30" s="295"/>
      <c r="I30" s="396"/>
      <c r="J30" s="146"/>
    </row>
    <row r="31" spans="1:9" ht="19.5" customHeight="1">
      <c r="A31" s="389" t="s">
        <v>84</v>
      </c>
      <c r="B31" s="961" t="s">
        <v>206</v>
      </c>
      <c r="C31" s="961"/>
      <c r="D31" s="961"/>
      <c r="E31" s="455"/>
      <c r="F31" s="338"/>
      <c r="G31" s="338"/>
      <c r="H31" s="390"/>
      <c r="I31" s="391"/>
    </row>
    <row r="32" spans="1:9" ht="19.5" customHeight="1">
      <c r="A32" s="474" t="s">
        <v>49</v>
      </c>
      <c r="B32" s="954" t="s">
        <v>477</v>
      </c>
      <c r="C32" s="955"/>
      <c r="D32" s="956"/>
      <c r="E32" s="479"/>
      <c r="F32" s="392">
        <f>+'P3 Form A-1 Health Care'!D20</f>
        <v>1436046.491827288</v>
      </c>
      <c r="G32" s="480">
        <f>+'Form B-1 Detail'!G78</f>
        <v>32002</v>
      </c>
      <c r="H32" s="392">
        <f>+'Form B-1 Detail'!H78</f>
        <v>23216.333333333336</v>
      </c>
      <c r="I32" s="393">
        <f>ROUND(H32/2080,2)</f>
        <v>11.16</v>
      </c>
    </row>
    <row r="33" spans="1:9" ht="19.5" customHeight="1">
      <c r="A33" s="474" t="s">
        <v>50</v>
      </c>
      <c r="B33" s="942"/>
      <c r="C33" s="943"/>
      <c r="D33" s="944"/>
      <c r="E33" s="475"/>
      <c r="F33" s="394"/>
      <c r="G33" s="477"/>
      <c r="H33" s="394"/>
      <c r="I33" s="393">
        <f>ROUND(H33/2080,2)</f>
        <v>0</v>
      </c>
    </row>
    <row r="34" spans="1:9" ht="19.5" customHeight="1">
      <c r="A34" s="474" t="s">
        <v>82</v>
      </c>
      <c r="B34" s="942"/>
      <c r="C34" s="943"/>
      <c r="D34" s="944"/>
      <c r="E34" s="475"/>
      <c r="F34" s="394"/>
      <c r="G34" s="477"/>
      <c r="H34" s="394"/>
      <c r="I34" s="393">
        <f>ROUND(H34/2080,2)</f>
        <v>0</v>
      </c>
    </row>
    <row r="35" spans="1:9" ht="19.5" customHeight="1">
      <c r="A35" s="474" t="s">
        <v>51</v>
      </c>
      <c r="B35" s="942"/>
      <c r="C35" s="943"/>
      <c r="D35" s="944"/>
      <c r="E35" s="475"/>
      <c r="F35" s="394"/>
      <c r="G35" s="477"/>
      <c r="H35" s="394"/>
      <c r="I35" s="393">
        <f>ROUND(H35/2080,2)</f>
        <v>0</v>
      </c>
    </row>
    <row r="36" spans="1:9" ht="19.5" customHeight="1">
      <c r="A36" s="474" t="s">
        <v>156</v>
      </c>
      <c r="B36" s="942"/>
      <c r="C36" s="943"/>
      <c r="D36" s="944"/>
      <c r="E36" s="475"/>
      <c r="F36" s="394"/>
      <c r="G36" s="477"/>
      <c r="H36" s="394"/>
      <c r="I36" s="393">
        <f>ROUND(H36/2080,2)</f>
        <v>0</v>
      </c>
    </row>
    <row r="37" spans="1:9" ht="24.75" customHeight="1" thickBot="1">
      <c r="A37" s="293"/>
      <c r="B37" s="945" t="s">
        <v>256</v>
      </c>
      <c r="C37" s="946"/>
      <c r="D37" s="947"/>
      <c r="E37" s="453"/>
      <c r="F37" s="473">
        <f>SUM(F32:F36)</f>
        <v>1436046.491827288</v>
      </c>
      <c r="G37" s="473">
        <f>SUM(G32:G36)</f>
        <v>32002</v>
      </c>
      <c r="H37" s="473">
        <f>SUM(H32:H36)</f>
        <v>23216.333333333336</v>
      </c>
      <c r="I37" s="395">
        <f>SUM(I32:I36)</f>
        <v>11.16</v>
      </c>
    </row>
    <row r="38" ht="12.75" thickTop="1"/>
  </sheetData>
  <sheetProtection password="E1AE" sheet="1" formatColumns="0" formatRows="0"/>
  <mergeCells count="29">
    <mergeCell ref="A1:I1"/>
    <mergeCell ref="A2:I2"/>
    <mergeCell ref="A3:I3"/>
    <mergeCell ref="A4:I4"/>
    <mergeCell ref="C8:H8"/>
    <mergeCell ref="B17:D17"/>
    <mergeCell ref="B18:D18"/>
    <mergeCell ref="B19:D19"/>
    <mergeCell ref="B20:D20"/>
    <mergeCell ref="B21:D21"/>
    <mergeCell ref="A12:I12"/>
    <mergeCell ref="H13:I13"/>
    <mergeCell ref="B33:D33"/>
    <mergeCell ref="B22:D22"/>
    <mergeCell ref="B23:D23"/>
    <mergeCell ref="B24:D24"/>
    <mergeCell ref="B25:D25"/>
    <mergeCell ref="B26:D26"/>
    <mergeCell ref="B27:D27"/>
    <mergeCell ref="B34:D34"/>
    <mergeCell ref="B37:D37"/>
    <mergeCell ref="A13:D15"/>
    <mergeCell ref="B35:D35"/>
    <mergeCell ref="B36:D36"/>
    <mergeCell ref="B28:D28"/>
    <mergeCell ref="B29:D29"/>
    <mergeCell ref="B30:D30"/>
    <mergeCell ref="B31:D31"/>
    <mergeCell ref="B32:D3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9"/>
  <sheetViews>
    <sheetView zoomScalePageLayoutView="0" workbookViewId="0" topLeftCell="E36">
      <selection activeCell="F19" sqref="F19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75"/>
      <c r="K1" s="75"/>
      <c r="L1" s="75"/>
      <c r="M1" s="75"/>
      <c r="N1" s="75"/>
      <c r="O1" s="75"/>
      <c r="P1" s="75"/>
      <c r="Q1" s="75"/>
      <c r="R1" s="75"/>
    </row>
    <row r="2" spans="1:18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75"/>
      <c r="K2" s="75"/>
      <c r="L2" s="75"/>
      <c r="M2" s="75"/>
      <c r="N2" s="75"/>
      <c r="O2" s="75"/>
      <c r="P2" s="75"/>
      <c r="Q2" s="75"/>
      <c r="R2" s="75"/>
    </row>
    <row r="3" spans="1:18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75"/>
      <c r="K3" s="75"/>
      <c r="L3" s="75"/>
      <c r="M3" s="75"/>
      <c r="N3" s="75"/>
      <c r="O3" s="75"/>
      <c r="P3" s="75"/>
      <c r="Q3" s="75"/>
      <c r="R3" s="75"/>
    </row>
    <row r="4" spans="1:18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314"/>
      <c r="K5" s="314"/>
      <c r="L5" s="314"/>
      <c r="M5" s="314"/>
      <c r="N5" s="314"/>
      <c r="O5" s="314"/>
      <c r="P5" s="314"/>
      <c r="Q5" s="314"/>
      <c r="R5" s="314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43647</v>
      </c>
      <c r="G6" s="148"/>
      <c r="H6" s="95" t="str">
        <f>'P1 Info &amp; Certification'!M20</f>
        <v>To</v>
      </c>
      <c r="I6" s="443">
        <f>'P1 Info &amp; Certification'!N20</f>
        <v>44012</v>
      </c>
      <c r="J6" s="147"/>
      <c r="K6" s="319"/>
      <c r="L6" s="13"/>
      <c r="M6" s="316"/>
      <c r="N6" s="318"/>
      <c r="O6" s="147"/>
      <c r="P6" s="147"/>
      <c r="Q6" s="318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885"/>
      <c r="I8" s="464"/>
      <c r="J8" s="317"/>
      <c r="K8" s="317"/>
      <c r="L8" s="317"/>
      <c r="M8" s="317"/>
      <c r="N8" s="317"/>
      <c r="O8" s="317"/>
      <c r="P8" s="317"/>
      <c r="Q8" s="317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315"/>
      <c r="K9" s="315"/>
      <c r="L9" s="315"/>
      <c r="M9" s="315"/>
      <c r="N9" s="315"/>
      <c r="O9" s="315"/>
      <c r="P9" s="315"/>
      <c r="Q9" s="315"/>
      <c r="R9" s="146"/>
      <c r="S9" s="146"/>
    </row>
    <row r="10" spans="1:9" ht="1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9" ht="28.5" customHeight="1">
      <c r="A12" s="963" t="s">
        <v>273</v>
      </c>
      <c r="B12" s="964"/>
      <c r="C12" s="964"/>
      <c r="D12" s="964"/>
      <c r="E12" s="964"/>
      <c r="F12" s="964"/>
      <c r="G12" s="964"/>
      <c r="H12" s="964"/>
      <c r="I12" s="966"/>
    </row>
    <row r="13" spans="1:9" ht="12.75" customHeight="1">
      <c r="A13" s="948" t="s">
        <v>267</v>
      </c>
      <c r="B13" s="949"/>
      <c r="C13" s="949"/>
      <c r="D13" s="949"/>
      <c r="E13" s="369"/>
      <c r="F13" s="366"/>
      <c r="G13" s="413"/>
      <c r="H13" s="967" t="s">
        <v>271</v>
      </c>
      <c r="I13" s="968"/>
    </row>
    <row r="14" spans="1:9" ht="12.75">
      <c r="A14" s="950"/>
      <c r="B14" s="951"/>
      <c r="C14" s="951"/>
      <c r="D14" s="951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952"/>
      <c r="B15" s="953"/>
      <c r="C15" s="953"/>
      <c r="D15" s="953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969" t="s">
        <v>268</v>
      </c>
      <c r="C17" s="970"/>
      <c r="D17" s="970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>
      <c r="A18" s="207" t="s">
        <v>91</v>
      </c>
      <c r="B18" s="971" t="s">
        <v>287</v>
      </c>
      <c r="C18" s="972"/>
      <c r="D18" s="972"/>
      <c r="E18" s="455"/>
      <c r="F18" s="338"/>
      <c r="G18" s="338"/>
      <c r="H18" s="390"/>
      <c r="I18" s="391"/>
    </row>
    <row r="19" spans="1:9" ht="19.5" customHeight="1">
      <c r="A19" s="474" t="s">
        <v>49</v>
      </c>
      <c r="B19" s="954" t="s">
        <v>477</v>
      </c>
      <c r="C19" s="955"/>
      <c r="D19" s="955"/>
      <c r="E19" s="482"/>
      <c r="F19" s="378">
        <f>+'P3 Form A-1 Health Care'!D21</f>
        <v>13690085.762383014</v>
      </c>
      <c r="G19" s="480">
        <f>+'Form B-1 Detail'!G289</f>
        <v>160213</v>
      </c>
      <c r="H19" s="480">
        <f>+'Form B-1 Detail'!H289</f>
        <v>312788.3333333333</v>
      </c>
      <c r="I19" s="393">
        <f>ROUND(H19/2080,2)</f>
        <v>150.38</v>
      </c>
    </row>
    <row r="20" spans="1:9" ht="19.5" customHeight="1">
      <c r="A20" s="474" t="s">
        <v>50</v>
      </c>
      <c r="B20" s="954"/>
      <c r="C20" s="955"/>
      <c r="D20" s="955"/>
      <c r="E20" s="483"/>
      <c r="F20" s="379"/>
      <c r="G20" s="477"/>
      <c r="H20" s="394"/>
      <c r="I20" s="393">
        <f>ROUND(H20/2080,2)</f>
        <v>0</v>
      </c>
    </row>
    <row r="21" spans="1:9" ht="19.5" customHeight="1">
      <c r="A21" s="474" t="s">
        <v>82</v>
      </c>
      <c r="B21" s="954"/>
      <c r="C21" s="955"/>
      <c r="D21" s="955"/>
      <c r="E21" s="483"/>
      <c r="F21" s="379"/>
      <c r="G21" s="477"/>
      <c r="H21" s="394"/>
      <c r="I21" s="393">
        <f>ROUND(H21/2080,2)</f>
        <v>0</v>
      </c>
    </row>
    <row r="22" spans="1:9" ht="19.5" customHeight="1">
      <c r="A22" s="474" t="s">
        <v>51</v>
      </c>
      <c r="B22" s="484"/>
      <c r="C22" s="485"/>
      <c r="D22" s="485"/>
      <c r="E22" s="483"/>
      <c r="F22" s="379"/>
      <c r="G22" s="477"/>
      <c r="H22" s="394"/>
      <c r="I22" s="393">
        <f>ROUND(H22/2080,2)</f>
        <v>0</v>
      </c>
    </row>
    <row r="23" spans="1:9" ht="19.5" customHeight="1">
      <c r="A23" s="474" t="s">
        <v>156</v>
      </c>
      <c r="B23" s="484"/>
      <c r="C23" s="485"/>
      <c r="D23" s="485"/>
      <c r="E23" s="483"/>
      <c r="F23" s="379"/>
      <c r="G23" s="477"/>
      <c r="H23" s="394"/>
      <c r="I23" s="393">
        <f>ROUND(H23/2080,2)</f>
        <v>0</v>
      </c>
    </row>
    <row r="24" spans="1:9" ht="24.75" customHeight="1" thickBot="1">
      <c r="A24" s="293"/>
      <c r="B24" s="957" t="s">
        <v>276</v>
      </c>
      <c r="C24" s="958"/>
      <c r="D24" s="958"/>
      <c r="E24" s="388"/>
      <c r="F24" s="481">
        <f>SUM(F19:F23)</f>
        <v>13690085.762383014</v>
      </c>
      <c r="G24" s="473">
        <f>SUM(G19:G23)</f>
        <v>160213</v>
      </c>
      <c r="H24" s="473">
        <f>SUM(H19:H23)</f>
        <v>312788.3333333333</v>
      </c>
      <c r="I24" s="395">
        <f>SUM(I19:I23)</f>
        <v>150.38</v>
      </c>
    </row>
    <row r="25" spans="1:9" ht="19.5" customHeight="1" thickTop="1">
      <c r="A25" s="293"/>
      <c r="B25" s="375"/>
      <c r="C25" s="375"/>
      <c r="D25" s="375"/>
      <c r="E25" s="375"/>
      <c r="F25" s="368"/>
      <c r="G25" s="294"/>
      <c r="H25" s="295"/>
      <c r="I25" s="374"/>
    </row>
    <row r="26" spans="1:9" ht="19.5" customHeight="1">
      <c r="A26" s="207" t="s">
        <v>92</v>
      </c>
      <c r="B26" s="961" t="s">
        <v>207</v>
      </c>
      <c r="C26" s="961"/>
      <c r="D26" s="961"/>
      <c r="E26" s="455"/>
      <c r="F26" s="338"/>
      <c r="G26" s="338"/>
      <c r="H26" s="390"/>
      <c r="I26" s="391"/>
    </row>
    <row r="27" spans="1:9" ht="19.5" customHeight="1">
      <c r="A27" s="474" t="s">
        <v>49</v>
      </c>
      <c r="B27" s="954" t="s">
        <v>477</v>
      </c>
      <c r="C27" s="955"/>
      <c r="D27" s="955"/>
      <c r="E27" s="486"/>
      <c r="F27" s="392"/>
      <c r="G27" s="480">
        <f>+'Form B-1 Detail'!G426</f>
        <v>58800</v>
      </c>
      <c r="H27" s="480">
        <f>+'Form B-1 Detail'!H426</f>
        <v>39983.99999999999</v>
      </c>
      <c r="I27" s="393">
        <f>ROUND(H27/2080,2)</f>
        <v>19.22</v>
      </c>
    </row>
    <row r="28" spans="1:9" ht="19.5" customHeight="1">
      <c r="A28" s="474" t="s">
        <v>50</v>
      </c>
      <c r="B28" s="942"/>
      <c r="C28" s="943"/>
      <c r="D28" s="944"/>
      <c r="E28" s="478"/>
      <c r="F28" s="394"/>
      <c r="G28" s="477"/>
      <c r="H28" s="394"/>
      <c r="I28" s="393">
        <f>ROUND(H28/2080,2)</f>
        <v>0</v>
      </c>
    </row>
    <row r="29" spans="1:9" ht="19.5" customHeight="1">
      <c r="A29" s="474" t="s">
        <v>82</v>
      </c>
      <c r="B29" s="942"/>
      <c r="C29" s="943"/>
      <c r="D29" s="944"/>
      <c r="E29" s="478"/>
      <c r="F29" s="394"/>
      <c r="G29" s="477"/>
      <c r="H29" s="394"/>
      <c r="I29" s="393">
        <f>ROUND(H29/2080,2)</f>
        <v>0</v>
      </c>
    </row>
    <row r="30" spans="1:9" ht="19.5" customHeight="1">
      <c r="A30" s="474" t="s">
        <v>51</v>
      </c>
      <c r="B30" s="484"/>
      <c r="C30" s="485"/>
      <c r="D30" s="475"/>
      <c r="E30" s="478"/>
      <c r="F30" s="394"/>
      <c r="G30" s="477"/>
      <c r="H30" s="394"/>
      <c r="I30" s="393">
        <f>ROUND(H30/2080,2)</f>
        <v>0</v>
      </c>
    </row>
    <row r="31" spans="1:9" ht="19.5" customHeight="1">
      <c r="A31" s="474" t="s">
        <v>156</v>
      </c>
      <c r="B31" s="484"/>
      <c r="C31" s="485"/>
      <c r="D31" s="475"/>
      <c r="E31" s="478"/>
      <c r="F31" s="394"/>
      <c r="G31" s="477"/>
      <c r="H31" s="394"/>
      <c r="I31" s="393">
        <f>ROUND(H31/2080,2)</f>
        <v>0</v>
      </c>
    </row>
    <row r="32" spans="1:9" ht="27" customHeight="1" thickBot="1">
      <c r="A32" s="293"/>
      <c r="B32" s="957" t="s">
        <v>277</v>
      </c>
      <c r="C32" s="958"/>
      <c r="D32" s="959"/>
      <c r="E32" s="380"/>
      <c r="F32" s="473">
        <f>SUM(F27:F31)</f>
        <v>0</v>
      </c>
      <c r="G32" s="473">
        <f>SUM(G27:G31)</f>
        <v>58800</v>
      </c>
      <c r="H32" s="473">
        <f>SUM(H27:H31)</f>
        <v>39983.99999999999</v>
      </c>
      <c r="I32" s="395">
        <f>SUM(I27:I31)</f>
        <v>19.22</v>
      </c>
    </row>
    <row r="33" spans="1:9" ht="19.5" customHeight="1" thickTop="1">
      <c r="A33" s="293"/>
      <c r="B33" s="375"/>
      <c r="C33" s="375"/>
      <c r="D33" s="375"/>
      <c r="E33" s="297"/>
      <c r="F33" s="368"/>
      <c r="G33" s="294"/>
      <c r="H33" s="295"/>
      <c r="I33" s="374"/>
    </row>
    <row r="34" spans="1:9" ht="19.5" customHeight="1">
      <c r="A34" s="207" t="s">
        <v>75</v>
      </c>
      <c r="B34" s="971" t="s">
        <v>345</v>
      </c>
      <c r="C34" s="972"/>
      <c r="D34" s="973"/>
      <c r="E34" s="455"/>
      <c r="F34" s="338"/>
      <c r="G34" s="338"/>
      <c r="H34" s="390"/>
      <c r="I34" s="391"/>
    </row>
    <row r="35" spans="1:9" ht="19.5" customHeight="1">
      <c r="A35" s="474" t="s">
        <v>49</v>
      </c>
      <c r="B35" s="954" t="s">
        <v>477</v>
      </c>
      <c r="C35" s="955"/>
      <c r="D35" s="955"/>
      <c r="E35" s="479"/>
      <c r="F35" s="392">
        <f>+'Form B-1 Detail'!F455</f>
        <v>1447502.4231073183</v>
      </c>
      <c r="G35" s="392">
        <f>+'Form B-1 Detail'!G455</f>
        <v>12593</v>
      </c>
      <c r="H35" s="392">
        <f>+'Form B-1 Detail'!H455</f>
        <v>37315.492770376106</v>
      </c>
      <c r="I35" s="393">
        <f>ROUND(H35/2080,2)</f>
        <v>17.94</v>
      </c>
    </row>
    <row r="36" spans="1:9" ht="19.5" customHeight="1">
      <c r="A36" s="474" t="s">
        <v>50</v>
      </c>
      <c r="B36" s="954"/>
      <c r="C36" s="955"/>
      <c r="D36" s="956"/>
      <c r="E36" s="475"/>
      <c r="F36" s="394"/>
      <c r="G36" s="477"/>
      <c r="H36" s="394"/>
      <c r="I36" s="393">
        <f>ROUND(H36/2080,2)</f>
        <v>0</v>
      </c>
    </row>
    <row r="37" spans="1:9" ht="19.5" customHeight="1">
      <c r="A37" s="474" t="s">
        <v>82</v>
      </c>
      <c r="B37" s="954"/>
      <c r="C37" s="955"/>
      <c r="D37" s="956"/>
      <c r="E37" s="475"/>
      <c r="F37" s="394"/>
      <c r="G37" s="477"/>
      <c r="H37" s="394"/>
      <c r="I37" s="393">
        <f>ROUND(H37/2080,2)</f>
        <v>0</v>
      </c>
    </row>
    <row r="38" spans="1:9" ht="24.75" customHeight="1" thickBot="1">
      <c r="A38" s="293"/>
      <c r="B38" s="957" t="s">
        <v>278</v>
      </c>
      <c r="C38" s="958"/>
      <c r="D38" s="959"/>
      <c r="E38" s="453"/>
      <c r="F38" s="473">
        <f>SUM(F35:F37)</f>
        <v>1447502.4231073183</v>
      </c>
      <c r="G38" s="473">
        <f>SUM(G35:G37)</f>
        <v>12593</v>
      </c>
      <c r="H38" s="473">
        <f>SUM(H35:H37)</f>
        <v>37315.492770376106</v>
      </c>
      <c r="I38" s="395">
        <f>SUM(I35:I37)</f>
        <v>17.94</v>
      </c>
    </row>
    <row r="39" spans="1:9" ht="13.5" thickBot="1" thickTop="1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6:D36"/>
    <mergeCell ref="B37:D37"/>
    <mergeCell ref="B38:D38"/>
    <mergeCell ref="B27:D27"/>
    <mergeCell ref="B28:D28"/>
    <mergeCell ref="B29:D29"/>
    <mergeCell ref="B32:D32"/>
    <mergeCell ref="B34:D34"/>
    <mergeCell ref="B35:D35"/>
    <mergeCell ref="B18:D18"/>
    <mergeCell ref="B19:D19"/>
    <mergeCell ref="B20:D20"/>
    <mergeCell ref="B21:D21"/>
    <mergeCell ref="B24:D24"/>
    <mergeCell ref="B26:D26"/>
    <mergeCell ref="A13:D15"/>
    <mergeCell ref="H13:I13"/>
    <mergeCell ref="B17:D17"/>
    <mergeCell ref="A1:I1"/>
    <mergeCell ref="A2:I2"/>
    <mergeCell ref="A3:I3"/>
    <mergeCell ref="A4:I4"/>
    <mergeCell ref="C8:H8"/>
    <mergeCell ref="A12:I1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L457"/>
  <sheetViews>
    <sheetView zoomScalePageLayoutView="0" workbookViewId="0" topLeftCell="E446">
      <selection activeCell="K1" sqref="K1:N16384"/>
    </sheetView>
  </sheetViews>
  <sheetFormatPr defaultColWidth="9.140625" defaultRowHeight="19.5" customHeight="1"/>
  <cols>
    <col min="1" max="1" width="4.00390625" style="155" bestFit="1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75"/>
      <c r="K1" s="75"/>
    </row>
    <row r="2" spans="1:1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75"/>
      <c r="K2" s="75"/>
    </row>
    <row r="3" spans="1:1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75"/>
      <c r="K3" s="75"/>
    </row>
    <row r="4" spans="1:1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75"/>
      <c r="K4" s="75"/>
    </row>
    <row r="5" spans="1:11" ht="13.5" thickBot="1">
      <c r="A5" s="151"/>
      <c r="B5" s="12"/>
      <c r="C5" s="12"/>
      <c r="D5" s="12"/>
      <c r="E5" s="12"/>
      <c r="F5" s="514"/>
      <c r="G5" s="514"/>
      <c r="H5" s="514"/>
      <c r="I5" s="514"/>
      <c r="J5" s="514"/>
      <c r="K5" s="514"/>
    </row>
    <row r="6" spans="1:12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43647</v>
      </c>
      <c r="G6" s="148"/>
      <c r="H6" s="95" t="str">
        <f>'P1 Info &amp; Certification'!M20</f>
        <v>To</v>
      </c>
      <c r="I6" s="516">
        <f>'P1 Info &amp; Certification'!N20</f>
        <v>44012</v>
      </c>
      <c r="J6" s="147"/>
      <c r="K6" s="146"/>
      <c r="L6" s="146"/>
    </row>
    <row r="7" spans="1:12" ht="12.75">
      <c r="A7" s="153"/>
      <c r="B7" s="529"/>
      <c r="C7" s="529"/>
      <c r="D7" s="529"/>
      <c r="E7" s="529"/>
      <c r="F7" s="13"/>
      <c r="G7" s="13"/>
      <c r="H7" s="13"/>
      <c r="I7" s="81"/>
      <c r="J7" s="13"/>
      <c r="K7" s="146"/>
      <c r="L7" s="146"/>
    </row>
    <row r="8" spans="1:12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885"/>
      <c r="I8" s="464"/>
      <c r="J8" s="528"/>
      <c r="K8" s="146"/>
      <c r="L8" s="146"/>
    </row>
    <row r="9" spans="1:12" ht="12.75">
      <c r="A9" s="471"/>
      <c r="B9" s="515"/>
      <c r="C9" s="515"/>
      <c r="D9" s="515"/>
      <c r="E9" s="515"/>
      <c r="F9" s="515"/>
      <c r="G9" s="515"/>
      <c r="H9" s="515"/>
      <c r="I9" s="515"/>
      <c r="J9" s="530"/>
      <c r="K9" s="146"/>
      <c r="L9" s="146"/>
    </row>
    <row r="10" spans="1:9" ht="12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9" ht="28.5" customHeight="1">
      <c r="A12" s="963" t="s">
        <v>273</v>
      </c>
      <c r="B12" s="964"/>
      <c r="C12" s="964"/>
      <c r="D12" s="964"/>
      <c r="E12" s="965"/>
      <c r="F12" s="965"/>
      <c r="G12" s="965"/>
      <c r="H12" s="964"/>
      <c r="I12" s="966"/>
    </row>
    <row r="13" spans="1:9" ht="12.75">
      <c r="A13" s="948" t="s">
        <v>267</v>
      </c>
      <c r="B13" s="949"/>
      <c r="C13" s="949"/>
      <c r="D13" s="949"/>
      <c r="E13" s="369"/>
      <c r="F13" s="366"/>
      <c r="G13" s="413"/>
      <c r="H13" s="967" t="s">
        <v>271</v>
      </c>
      <c r="I13" s="968"/>
    </row>
    <row r="14" spans="1:9" ht="12.75">
      <c r="A14" s="950"/>
      <c r="B14" s="951"/>
      <c r="C14" s="951"/>
      <c r="D14" s="951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952"/>
      <c r="B15" s="953"/>
      <c r="C15" s="953"/>
      <c r="D15" s="953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520"/>
      <c r="B16" s="521"/>
      <c r="C16" s="521"/>
      <c r="D16" s="521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969" t="s">
        <v>268</v>
      </c>
      <c r="C17" s="970"/>
      <c r="D17" s="970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9" ht="19.5" customHeight="1">
      <c r="A18" s="207" t="s">
        <v>83</v>
      </c>
      <c r="B18" s="962" t="s">
        <v>229</v>
      </c>
      <c r="C18" s="953"/>
      <c r="D18" s="953"/>
      <c r="E18" s="371"/>
      <c r="F18" s="412"/>
      <c r="G18" s="338"/>
      <c r="H18" s="339"/>
      <c r="I18" s="342"/>
    </row>
    <row r="19" spans="1:9" ht="19.5" customHeight="1">
      <c r="A19" s="474">
        <v>1</v>
      </c>
      <c r="B19" s="954" t="s">
        <v>229</v>
      </c>
      <c r="C19" s="955"/>
      <c r="D19" s="956"/>
      <c r="E19" s="524" t="s">
        <v>269</v>
      </c>
      <c r="F19" s="666">
        <v>221186.812257446</v>
      </c>
      <c r="G19" s="666">
        <v>2904</v>
      </c>
      <c r="H19" s="666">
        <v>2080</v>
      </c>
      <c r="I19" s="373">
        <f aca="true" t="shared" si="0" ref="I19:I58">ROUND(H19/2080,2)</f>
        <v>1</v>
      </c>
    </row>
    <row r="20" spans="1:9" ht="19.5" customHeight="1">
      <c r="A20" s="474">
        <v>2</v>
      </c>
      <c r="B20" s="954" t="s">
        <v>229</v>
      </c>
      <c r="C20" s="955"/>
      <c r="D20" s="956"/>
      <c r="E20" s="524" t="s">
        <v>269</v>
      </c>
      <c r="F20" s="666">
        <v>277105.089899258</v>
      </c>
      <c r="G20" s="666">
        <v>4207</v>
      </c>
      <c r="H20" s="666">
        <v>2080</v>
      </c>
      <c r="I20" s="373">
        <f t="shared" si="0"/>
        <v>1</v>
      </c>
    </row>
    <row r="21" spans="1:9" ht="19.5" customHeight="1">
      <c r="A21" s="474">
        <v>3</v>
      </c>
      <c r="B21" s="954" t="s">
        <v>229</v>
      </c>
      <c r="C21" s="955"/>
      <c r="D21" s="956"/>
      <c r="E21" s="524" t="s">
        <v>269</v>
      </c>
      <c r="F21" s="666">
        <v>240504.067826631</v>
      </c>
      <c r="G21" s="666">
        <v>3216</v>
      </c>
      <c r="H21" s="666">
        <v>2080</v>
      </c>
      <c r="I21" s="373">
        <f t="shared" si="0"/>
        <v>1</v>
      </c>
    </row>
    <row r="22" spans="1:9" ht="19.5" customHeight="1">
      <c r="A22" s="474">
        <v>4</v>
      </c>
      <c r="B22" s="954" t="s">
        <v>229</v>
      </c>
      <c r="C22" s="955"/>
      <c r="D22" s="956"/>
      <c r="E22" s="524" t="s">
        <v>269</v>
      </c>
      <c r="F22" s="666">
        <v>272720.728008124</v>
      </c>
      <c r="G22" s="666">
        <v>2589</v>
      </c>
      <c r="H22" s="666">
        <v>2080</v>
      </c>
      <c r="I22" s="373">
        <f t="shared" si="0"/>
        <v>1</v>
      </c>
    </row>
    <row r="23" spans="1:9" ht="19.5" customHeight="1">
      <c r="A23" s="474">
        <v>5</v>
      </c>
      <c r="B23" s="954" t="s">
        <v>229</v>
      </c>
      <c r="C23" s="955"/>
      <c r="D23" s="956"/>
      <c r="E23" s="524" t="s">
        <v>269</v>
      </c>
      <c r="F23" s="666">
        <v>188562.827311817</v>
      </c>
      <c r="G23" s="666">
        <v>1889</v>
      </c>
      <c r="H23" s="666">
        <v>2080</v>
      </c>
      <c r="I23" s="373">
        <f t="shared" si="0"/>
        <v>1</v>
      </c>
    </row>
    <row r="24" spans="1:9" ht="19.5" customHeight="1">
      <c r="A24" s="474">
        <v>6</v>
      </c>
      <c r="B24" s="954" t="s">
        <v>229</v>
      </c>
      <c r="C24" s="955"/>
      <c r="D24" s="956"/>
      <c r="E24" s="524" t="s">
        <v>269</v>
      </c>
      <c r="F24" s="666">
        <v>173294.687877641</v>
      </c>
      <c r="G24" s="666">
        <v>2410</v>
      </c>
      <c r="H24" s="666">
        <v>1664</v>
      </c>
      <c r="I24" s="373">
        <f t="shared" si="0"/>
        <v>0.8</v>
      </c>
    </row>
    <row r="25" spans="1:9" ht="19.5" customHeight="1">
      <c r="A25" s="474">
        <v>7</v>
      </c>
      <c r="B25" s="954" t="s">
        <v>229</v>
      </c>
      <c r="C25" s="955"/>
      <c r="D25" s="956"/>
      <c r="E25" s="524" t="s">
        <v>269</v>
      </c>
      <c r="F25" s="666">
        <v>217450.489705211</v>
      </c>
      <c r="G25" s="666">
        <v>1265</v>
      </c>
      <c r="H25" s="666">
        <v>1664</v>
      </c>
      <c r="I25" s="373">
        <f t="shared" si="0"/>
        <v>0.8</v>
      </c>
    </row>
    <row r="26" spans="1:9" ht="19.5" customHeight="1">
      <c r="A26" s="474">
        <v>8</v>
      </c>
      <c r="B26" s="954" t="s">
        <v>229</v>
      </c>
      <c r="C26" s="955"/>
      <c r="D26" s="956"/>
      <c r="E26" s="524" t="s">
        <v>269</v>
      </c>
      <c r="F26" s="666">
        <v>241226.771328587</v>
      </c>
      <c r="G26" s="666">
        <v>2741</v>
      </c>
      <c r="H26" s="666">
        <v>2080</v>
      </c>
      <c r="I26" s="373">
        <f t="shared" si="0"/>
        <v>1</v>
      </c>
    </row>
    <row r="27" spans="1:9" ht="19.5" customHeight="1">
      <c r="A27" s="474">
        <v>9</v>
      </c>
      <c r="B27" s="954" t="s">
        <v>229</v>
      </c>
      <c r="C27" s="955"/>
      <c r="D27" s="956"/>
      <c r="E27" s="524" t="s">
        <v>269</v>
      </c>
      <c r="F27" s="666">
        <v>268321.150342211</v>
      </c>
      <c r="G27" s="666">
        <v>3116</v>
      </c>
      <c r="H27" s="666">
        <v>2037</v>
      </c>
      <c r="I27" s="373">
        <f t="shared" si="0"/>
        <v>0.98</v>
      </c>
    </row>
    <row r="28" spans="1:9" ht="19.5" customHeight="1">
      <c r="A28" s="474">
        <v>10</v>
      </c>
      <c r="B28" s="954" t="s">
        <v>229</v>
      </c>
      <c r="C28" s="955"/>
      <c r="D28" s="956"/>
      <c r="E28" s="524" t="s">
        <v>269</v>
      </c>
      <c r="F28" s="666">
        <v>91398.8182020193</v>
      </c>
      <c r="G28" s="666">
        <v>885</v>
      </c>
      <c r="H28" s="666">
        <v>693</v>
      </c>
      <c r="I28" s="373">
        <f t="shared" si="0"/>
        <v>0.33</v>
      </c>
    </row>
    <row r="29" spans="1:9" ht="19.5" customHeight="1">
      <c r="A29" s="474">
        <v>11</v>
      </c>
      <c r="B29" s="954" t="s">
        <v>229</v>
      </c>
      <c r="C29" s="955"/>
      <c r="D29" s="956"/>
      <c r="E29" s="524" t="s">
        <v>269</v>
      </c>
      <c r="F29" s="666">
        <v>140335.88464247</v>
      </c>
      <c r="G29" s="666">
        <v>475</v>
      </c>
      <c r="H29" s="666">
        <v>1040</v>
      </c>
      <c r="I29" s="373">
        <f t="shared" si="0"/>
        <v>0.5</v>
      </c>
    </row>
    <row r="30" spans="1:9" ht="19.5" customHeight="1">
      <c r="A30" s="474">
        <v>12</v>
      </c>
      <c r="B30" s="954" t="s">
        <v>229</v>
      </c>
      <c r="C30" s="955"/>
      <c r="D30" s="956"/>
      <c r="E30" s="524" t="s">
        <v>269</v>
      </c>
      <c r="F30" s="666">
        <v>120040.758554971</v>
      </c>
      <c r="G30" s="666">
        <v>1935</v>
      </c>
      <c r="H30" s="666">
        <v>1030</v>
      </c>
      <c r="I30" s="373">
        <f t="shared" si="0"/>
        <v>0.5</v>
      </c>
    </row>
    <row r="31" spans="1:9" ht="19.5" customHeight="1">
      <c r="A31" s="474">
        <v>13</v>
      </c>
      <c r="B31" s="954" t="s">
        <v>229</v>
      </c>
      <c r="C31" s="955"/>
      <c r="D31" s="956"/>
      <c r="E31" s="524" t="s">
        <v>269</v>
      </c>
      <c r="F31" s="666">
        <v>123422.833443716</v>
      </c>
      <c r="G31" s="666"/>
      <c r="H31" s="666">
        <v>1041</v>
      </c>
      <c r="I31" s="373">
        <f t="shared" si="0"/>
        <v>0.5</v>
      </c>
    </row>
    <row r="32" spans="1:9" ht="19.5" customHeight="1">
      <c r="A32" s="474">
        <v>14</v>
      </c>
      <c r="B32" s="954" t="s">
        <v>229</v>
      </c>
      <c r="C32" s="955"/>
      <c r="D32" s="956"/>
      <c r="E32" s="524" t="s">
        <v>269</v>
      </c>
      <c r="F32" s="666">
        <v>262510.790465561</v>
      </c>
      <c r="G32" s="666">
        <v>3970</v>
      </c>
      <c r="H32" s="666">
        <v>2080</v>
      </c>
      <c r="I32" s="373">
        <f t="shared" si="0"/>
        <v>1</v>
      </c>
    </row>
    <row r="33" spans="1:9" ht="19.5" customHeight="1">
      <c r="A33" s="474">
        <v>15</v>
      </c>
      <c r="B33" s="954" t="s">
        <v>229</v>
      </c>
      <c r="C33" s="955"/>
      <c r="D33" s="956"/>
      <c r="E33" s="524" t="s">
        <v>269</v>
      </c>
      <c r="F33" s="666">
        <v>182589.541600622</v>
      </c>
      <c r="G33" s="666">
        <v>2326</v>
      </c>
      <c r="H33" s="666">
        <v>1560</v>
      </c>
      <c r="I33" s="373">
        <f t="shared" si="0"/>
        <v>0.75</v>
      </c>
    </row>
    <row r="34" spans="1:9" ht="19.5" customHeight="1">
      <c r="A34" s="474">
        <v>16</v>
      </c>
      <c r="B34" s="954" t="s">
        <v>229</v>
      </c>
      <c r="C34" s="955"/>
      <c r="D34" s="956"/>
      <c r="E34" s="524" t="s">
        <v>269</v>
      </c>
      <c r="F34" s="666">
        <v>1404.53305641541</v>
      </c>
      <c r="G34" s="666"/>
      <c r="H34" s="666">
        <v>12</v>
      </c>
      <c r="I34" s="373">
        <f t="shared" si="0"/>
        <v>0.01</v>
      </c>
    </row>
    <row r="35" spans="1:9" ht="19.5" customHeight="1">
      <c r="A35" s="474">
        <v>17</v>
      </c>
      <c r="B35" s="954" t="s">
        <v>229</v>
      </c>
      <c r="C35" s="955"/>
      <c r="D35" s="956"/>
      <c r="E35" s="524" t="s">
        <v>269</v>
      </c>
      <c r="F35" s="666">
        <v>187212.195755886</v>
      </c>
      <c r="G35" s="666">
        <v>1868</v>
      </c>
      <c r="H35" s="666">
        <v>2080</v>
      </c>
      <c r="I35" s="373">
        <f t="shared" si="0"/>
        <v>1</v>
      </c>
    </row>
    <row r="36" spans="1:9" ht="19.5" customHeight="1">
      <c r="A36" s="474">
        <v>18</v>
      </c>
      <c r="B36" s="954" t="s">
        <v>229</v>
      </c>
      <c r="C36" s="955"/>
      <c r="D36" s="956"/>
      <c r="E36" s="524" t="s">
        <v>269</v>
      </c>
      <c r="F36" s="807">
        <v>268367.64242193406</v>
      </c>
      <c r="G36" s="666">
        <v>1398</v>
      </c>
      <c r="H36" s="666">
        <v>2002.4739413993564</v>
      </c>
      <c r="I36" s="373">
        <f t="shared" si="0"/>
        <v>0.96</v>
      </c>
    </row>
    <row r="37" spans="1:9" ht="19.5" customHeight="1">
      <c r="A37" s="474">
        <v>19</v>
      </c>
      <c r="B37" s="954" t="s">
        <v>229</v>
      </c>
      <c r="C37" s="955"/>
      <c r="D37" s="956"/>
      <c r="E37" s="524" t="s">
        <v>269</v>
      </c>
      <c r="F37" s="666">
        <v>270544.149592814</v>
      </c>
      <c r="G37" s="666">
        <v>4085</v>
      </c>
      <c r="H37" s="666">
        <v>2080</v>
      </c>
      <c r="I37" s="373">
        <f t="shared" si="0"/>
        <v>1</v>
      </c>
    </row>
    <row r="38" spans="1:9" ht="19.5" customHeight="1">
      <c r="A38" s="474">
        <v>20</v>
      </c>
      <c r="B38" s="954" t="s">
        <v>229</v>
      </c>
      <c r="C38" s="955"/>
      <c r="D38" s="956"/>
      <c r="E38" s="524" t="s">
        <v>269</v>
      </c>
      <c r="F38" s="666">
        <v>133678.723643885</v>
      </c>
      <c r="G38" s="666">
        <v>1883</v>
      </c>
      <c r="H38" s="666">
        <v>1040</v>
      </c>
      <c r="I38" s="373">
        <f t="shared" si="0"/>
        <v>0.5</v>
      </c>
    </row>
    <row r="39" spans="1:10" ht="19.5" customHeight="1">
      <c r="A39" s="474">
        <v>21</v>
      </c>
      <c r="B39" s="954" t="s">
        <v>229</v>
      </c>
      <c r="C39" s="955"/>
      <c r="D39" s="956"/>
      <c r="E39" s="524" t="s">
        <v>269</v>
      </c>
      <c r="F39" s="666">
        <v>215502.544844823</v>
      </c>
      <c r="G39" s="666">
        <v>2981</v>
      </c>
      <c r="H39" s="666">
        <v>2080</v>
      </c>
      <c r="I39" s="686">
        <f t="shared" si="0"/>
        <v>1</v>
      </c>
      <c r="J39" s="672"/>
    </row>
    <row r="40" spans="1:9" ht="19.5" customHeight="1">
      <c r="A40" s="474">
        <v>22</v>
      </c>
      <c r="B40" s="954" t="s">
        <v>229</v>
      </c>
      <c r="C40" s="955"/>
      <c r="D40" s="956"/>
      <c r="E40" s="524" t="s">
        <v>269</v>
      </c>
      <c r="F40" s="666">
        <v>219898.875800264</v>
      </c>
      <c r="G40" s="666">
        <v>2772</v>
      </c>
      <c r="H40" s="666">
        <v>2080</v>
      </c>
      <c r="I40" s="373">
        <f t="shared" si="0"/>
        <v>1</v>
      </c>
    </row>
    <row r="41" spans="1:9" ht="19.5" customHeight="1">
      <c r="A41" s="474">
        <v>23</v>
      </c>
      <c r="B41" s="954" t="s">
        <v>229</v>
      </c>
      <c r="C41" s="955"/>
      <c r="D41" s="956"/>
      <c r="E41" s="524" t="s">
        <v>269</v>
      </c>
      <c r="F41" s="666">
        <v>217472.626367513</v>
      </c>
      <c r="G41" s="666">
        <v>3784</v>
      </c>
      <c r="H41" s="666">
        <v>2080</v>
      </c>
      <c r="I41" s="373">
        <f t="shared" si="0"/>
        <v>1</v>
      </c>
    </row>
    <row r="42" spans="1:9" ht="19.5" customHeight="1">
      <c r="A42" s="474">
        <v>24</v>
      </c>
      <c r="B42" s="954" t="s">
        <v>229</v>
      </c>
      <c r="C42" s="955"/>
      <c r="D42" s="956"/>
      <c r="E42" s="524" t="s">
        <v>269</v>
      </c>
      <c r="F42" s="666">
        <v>23548.8286904432</v>
      </c>
      <c r="G42" s="666">
        <v>215</v>
      </c>
      <c r="H42" s="666">
        <v>208</v>
      </c>
      <c r="I42" s="373">
        <f t="shared" si="0"/>
        <v>0.1</v>
      </c>
    </row>
    <row r="43" spans="1:10" ht="19.5" customHeight="1">
      <c r="A43" s="474">
        <v>25</v>
      </c>
      <c r="B43" s="954" t="s">
        <v>229</v>
      </c>
      <c r="C43" s="955"/>
      <c r="D43" s="956"/>
      <c r="E43" s="524" t="s">
        <v>269</v>
      </c>
      <c r="F43" s="666">
        <v>261570.618428703</v>
      </c>
      <c r="G43" s="666">
        <v>4466</v>
      </c>
      <c r="H43" s="666">
        <v>2080</v>
      </c>
      <c r="I43" s="686">
        <f t="shared" si="0"/>
        <v>1</v>
      </c>
      <c r="J43" s="672"/>
    </row>
    <row r="44" spans="1:9" ht="19.5" customHeight="1">
      <c r="A44" s="474">
        <v>26</v>
      </c>
      <c r="B44" s="954" t="s">
        <v>229</v>
      </c>
      <c r="C44" s="955"/>
      <c r="D44" s="956"/>
      <c r="E44" s="524" t="s">
        <v>269</v>
      </c>
      <c r="F44" s="666">
        <v>208489.578983056</v>
      </c>
      <c r="G44" s="666">
        <v>1725</v>
      </c>
      <c r="H44" s="666">
        <v>2080</v>
      </c>
      <c r="I44" s="373">
        <f t="shared" si="0"/>
        <v>1</v>
      </c>
    </row>
    <row r="45" spans="1:9" ht="19.5" customHeight="1">
      <c r="A45" s="474">
        <v>27</v>
      </c>
      <c r="B45" s="954" t="s">
        <v>229</v>
      </c>
      <c r="C45" s="955"/>
      <c r="D45" s="956"/>
      <c r="E45" s="524" t="s">
        <v>269</v>
      </c>
      <c r="F45" s="666">
        <v>68013.4954793393</v>
      </c>
      <c r="G45" s="666">
        <v>604</v>
      </c>
      <c r="H45" s="666">
        <v>488</v>
      </c>
      <c r="I45" s="373">
        <f t="shared" si="0"/>
        <v>0.23</v>
      </c>
    </row>
    <row r="46" spans="1:9" ht="19.5" customHeight="1">
      <c r="A46" s="474">
        <v>28</v>
      </c>
      <c r="B46" s="954" t="s">
        <v>229</v>
      </c>
      <c r="C46" s="955"/>
      <c r="D46" s="956"/>
      <c r="E46" s="524" t="s">
        <v>269</v>
      </c>
      <c r="F46" s="666">
        <v>278587.157251498</v>
      </c>
      <c r="G46" s="666">
        <v>531</v>
      </c>
      <c r="H46" s="666">
        <v>2080</v>
      </c>
      <c r="I46" s="373">
        <f t="shared" si="0"/>
        <v>1</v>
      </c>
    </row>
    <row r="47" spans="1:9" ht="19.5" customHeight="1">
      <c r="A47" s="474">
        <v>29</v>
      </c>
      <c r="B47" s="954" t="s">
        <v>229</v>
      </c>
      <c r="C47" s="955"/>
      <c r="D47" s="956"/>
      <c r="E47" s="524" t="s">
        <v>269</v>
      </c>
      <c r="F47" s="666">
        <v>261083.082613714</v>
      </c>
      <c r="G47" s="666">
        <v>2964</v>
      </c>
      <c r="H47" s="666">
        <v>2080</v>
      </c>
      <c r="I47" s="373">
        <f t="shared" si="0"/>
        <v>1</v>
      </c>
    </row>
    <row r="48" spans="1:9" ht="19.5" customHeight="1">
      <c r="A48" s="474">
        <v>30</v>
      </c>
      <c r="B48" s="954" t="s">
        <v>229</v>
      </c>
      <c r="C48" s="955"/>
      <c r="D48" s="956"/>
      <c r="E48" s="524" t="s">
        <v>269</v>
      </c>
      <c r="F48" s="666">
        <v>211394.061743741</v>
      </c>
      <c r="G48" s="666">
        <v>3363</v>
      </c>
      <c r="H48" s="666">
        <v>2080</v>
      </c>
      <c r="I48" s="373">
        <f t="shared" si="0"/>
        <v>1</v>
      </c>
    </row>
    <row r="49" spans="1:9" ht="19.5" customHeight="1">
      <c r="A49" s="474">
        <v>31</v>
      </c>
      <c r="B49" s="954" t="s">
        <v>229</v>
      </c>
      <c r="C49" s="955"/>
      <c r="D49" s="956"/>
      <c r="E49" s="524" t="s">
        <v>269</v>
      </c>
      <c r="F49" s="666">
        <v>79507.705479806</v>
      </c>
      <c r="G49" s="666">
        <v>1316</v>
      </c>
      <c r="H49" s="666">
        <v>812</v>
      </c>
      <c r="I49" s="373">
        <f t="shared" si="0"/>
        <v>0.39</v>
      </c>
    </row>
    <row r="50" spans="1:9" ht="19.5" customHeight="1">
      <c r="A50" s="474">
        <v>32</v>
      </c>
      <c r="B50" s="954" t="s">
        <v>229</v>
      </c>
      <c r="C50" s="955"/>
      <c r="D50" s="956"/>
      <c r="E50" s="524" t="s">
        <v>269</v>
      </c>
      <c r="F50" s="666">
        <v>184276.345090274</v>
      </c>
      <c r="G50" s="666">
        <v>2345</v>
      </c>
      <c r="H50" s="666">
        <v>1817</v>
      </c>
      <c r="I50" s="373">
        <f t="shared" si="0"/>
        <v>0.87</v>
      </c>
    </row>
    <row r="51" spans="1:9" ht="19.5" customHeight="1">
      <c r="A51" s="474">
        <v>33</v>
      </c>
      <c r="B51" s="954" t="s">
        <v>229</v>
      </c>
      <c r="C51" s="955"/>
      <c r="D51" s="956"/>
      <c r="E51" s="524" t="s">
        <v>269</v>
      </c>
      <c r="F51" s="666">
        <v>268129.869224369</v>
      </c>
      <c r="G51" s="666">
        <v>3236</v>
      </c>
      <c r="H51" s="666">
        <v>2080</v>
      </c>
      <c r="I51" s="373">
        <f t="shared" si="0"/>
        <v>1</v>
      </c>
    </row>
    <row r="52" spans="1:9" ht="19.5" customHeight="1">
      <c r="A52" s="474">
        <v>34</v>
      </c>
      <c r="B52" s="954" t="s">
        <v>229</v>
      </c>
      <c r="C52" s="955"/>
      <c r="D52" s="956"/>
      <c r="E52" s="524" t="s">
        <v>269</v>
      </c>
      <c r="F52" s="666">
        <v>282451.292311866</v>
      </c>
      <c r="G52" s="666">
        <v>3011</v>
      </c>
      <c r="H52" s="666">
        <v>2080</v>
      </c>
      <c r="I52" s="373">
        <f t="shared" si="0"/>
        <v>1</v>
      </c>
    </row>
    <row r="53" spans="1:9" ht="19.5" customHeight="1">
      <c r="A53" s="474">
        <v>35</v>
      </c>
      <c r="B53" s="954" t="s">
        <v>229</v>
      </c>
      <c r="C53" s="955"/>
      <c r="D53" s="956"/>
      <c r="E53" s="651" t="s">
        <v>269</v>
      </c>
      <c r="F53" s="666">
        <v>167871.592369082</v>
      </c>
      <c r="G53" s="666">
        <v>1001</v>
      </c>
      <c r="H53" s="666">
        <v>1560</v>
      </c>
      <c r="I53" s="373">
        <f t="shared" si="0"/>
        <v>0.75</v>
      </c>
    </row>
    <row r="54" spans="1:9" ht="19.5" customHeight="1">
      <c r="A54" s="474">
        <v>36</v>
      </c>
      <c r="B54" s="954" t="s">
        <v>229</v>
      </c>
      <c r="C54" s="955"/>
      <c r="D54" s="956"/>
      <c r="E54" s="651" t="s">
        <v>269</v>
      </c>
      <c r="F54" s="666">
        <v>127135.736933902</v>
      </c>
      <c r="G54" s="666">
        <v>2122</v>
      </c>
      <c r="H54" s="666">
        <v>1099</v>
      </c>
      <c r="I54" s="373">
        <f t="shared" si="0"/>
        <v>0.53</v>
      </c>
    </row>
    <row r="55" spans="1:9" ht="19.5" customHeight="1">
      <c r="A55" s="474">
        <v>37</v>
      </c>
      <c r="B55" s="954" t="s">
        <v>229</v>
      </c>
      <c r="C55" s="955"/>
      <c r="D55" s="956"/>
      <c r="E55" s="651" t="s">
        <v>269</v>
      </c>
      <c r="F55" s="666">
        <v>226162.34007647</v>
      </c>
      <c r="G55" s="666">
        <v>3611</v>
      </c>
      <c r="H55" s="666">
        <v>2080</v>
      </c>
      <c r="I55" s="373">
        <f t="shared" si="0"/>
        <v>1</v>
      </c>
    </row>
    <row r="56" spans="1:9" ht="19.5" customHeight="1">
      <c r="A56" s="580">
        <v>38</v>
      </c>
      <c r="B56" s="954" t="s">
        <v>229</v>
      </c>
      <c r="C56" s="955"/>
      <c r="D56" s="956"/>
      <c r="E56" s="651" t="s">
        <v>269</v>
      </c>
      <c r="F56" s="666">
        <v>130244.273921022</v>
      </c>
      <c r="G56" s="666">
        <v>3013</v>
      </c>
      <c r="H56" s="666">
        <v>1040</v>
      </c>
      <c r="I56" s="373">
        <f t="shared" si="0"/>
        <v>0.5</v>
      </c>
    </row>
    <row r="57" spans="1:9" ht="19.5" customHeight="1">
      <c r="A57" s="580">
        <v>39</v>
      </c>
      <c r="B57" s="954" t="s">
        <v>229</v>
      </c>
      <c r="C57" s="955"/>
      <c r="D57" s="956"/>
      <c r="E57" s="651" t="s">
        <v>269</v>
      </c>
      <c r="F57" s="666">
        <v>88859.8397248268</v>
      </c>
      <c r="G57" s="666">
        <v>1005</v>
      </c>
      <c r="H57" s="807">
        <v>840</v>
      </c>
      <c r="I57" s="373">
        <f t="shared" si="0"/>
        <v>0.4</v>
      </c>
    </row>
    <row r="58" spans="1:9" ht="19.5" customHeight="1">
      <c r="A58" s="580">
        <v>40</v>
      </c>
      <c r="B58" s="954" t="s">
        <v>229</v>
      </c>
      <c r="C58" s="955"/>
      <c r="D58" s="956"/>
      <c r="E58" s="651" t="s">
        <v>269</v>
      </c>
      <c r="F58" s="666">
        <v>223711.796292953</v>
      </c>
      <c r="G58" s="666">
        <v>2978</v>
      </c>
      <c r="H58" s="666">
        <v>2080</v>
      </c>
      <c r="I58" s="373">
        <f t="shared" si="0"/>
        <v>1</v>
      </c>
    </row>
    <row r="59" spans="1:9" ht="19.5" customHeight="1">
      <c r="A59" s="14"/>
      <c r="B59" s="954"/>
      <c r="C59" s="955"/>
      <c r="D59" s="956"/>
      <c r="E59" s="524"/>
      <c r="F59" s="394"/>
      <c r="G59" s="477"/>
      <c r="H59" s="394"/>
      <c r="I59" s="697"/>
    </row>
    <row r="60" spans="1:9" ht="24.75" customHeight="1" thickBot="1">
      <c r="A60" s="253"/>
      <c r="B60" s="957" t="s">
        <v>255</v>
      </c>
      <c r="C60" s="958"/>
      <c r="D60" s="959"/>
      <c r="E60" s="397"/>
      <c r="F60" s="473">
        <f>SUM(F19:F59)</f>
        <v>7625790.157564886</v>
      </c>
      <c r="G60" s="473">
        <f>SUM(G19:G59)</f>
        <v>90205</v>
      </c>
      <c r="H60" s="473">
        <f>SUM(H19:H59)</f>
        <v>65327.47394139935</v>
      </c>
      <c r="I60" s="395">
        <f>SUM(I19:I59)</f>
        <v>31.400000000000002</v>
      </c>
    </row>
    <row r="61" spans="1:10" ht="19.5" customHeight="1" thickTop="1">
      <c r="A61" s="253"/>
      <c r="B61" s="960"/>
      <c r="C61" s="960"/>
      <c r="D61" s="960"/>
      <c r="E61" s="526"/>
      <c r="F61" s="295"/>
      <c r="G61" s="294"/>
      <c r="H61" s="295"/>
      <c r="I61" s="396"/>
      <c r="J61" s="146"/>
    </row>
    <row r="62" spans="1:9" ht="19.5" customHeight="1">
      <c r="A62" s="389" t="s">
        <v>84</v>
      </c>
      <c r="B62" s="961" t="s">
        <v>206</v>
      </c>
      <c r="C62" s="961"/>
      <c r="D62" s="961"/>
      <c r="E62" s="527"/>
      <c r="F62" s="338"/>
      <c r="G62" s="338"/>
      <c r="H62" s="390"/>
      <c r="I62" s="391"/>
    </row>
    <row r="63" spans="1:9" ht="19.5" customHeight="1">
      <c r="A63" s="474">
        <v>1</v>
      </c>
      <c r="B63" s="942" t="s">
        <v>206</v>
      </c>
      <c r="C63" s="943"/>
      <c r="D63" s="944"/>
      <c r="E63" s="479"/>
      <c r="F63" s="666">
        <v>61164.6157185542</v>
      </c>
      <c r="G63" s="666">
        <v>1545</v>
      </c>
      <c r="H63" s="666">
        <v>1000</v>
      </c>
      <c r="I63" s="393">
        <f aca="true" t="shared" si="1" ref="I63:I76">ROUND(H63/2080,2)</f>
        <v>0.48</v>
      </c>
    </row>
    <row r="64" spans="1:9" ht="19.5" customHeight="1">
      <c r="A64" s="474">
        <v>2</v>
      </c>
      <c r="B64" s="942" t="s">
        <v>206</v>
      </c>
      <c r="C64" s="943"/>
      <c r="D64" s="944"/>
      <c r="E64" s="524"/>
      <c r="F64" s="666">
        <v>41102.6217628684</v>
      </c>
      <c r="G64" s="666">
        <v>536</v>
      </c>
      <c r="H64" s="666">
        <v>693.3333333333334</v>
      </c>
      <c r="I64" s="393">
        <f t="shared" si="1"/>
        <v>0.33</v>
      </c>
    </row>
    <row r="65" spans="1:9" ht="19.5" customHeight="1">
      <c r="A65" s="474">
        <v>3</v>
      </c>
      <c r="B65" s="942" t="s">
        <v>206</v>
      </c>
      <c r="C65" s="943"/>
      <c r="D65" s="944"/>
      <c r="E65" s="524"/>
      <c r="F65" s="666">
        <v>112150.336110647</v>
      </c>
      <c r="G65" s="666">
        <v>3124</v>
      </c>
      <c r="H65" s="666">
        <v>1664</v>
      </c>
      <c r="I65" s="393">
        <f t="shared" si="1"/>
        <v>0.8</v>
      </c>
    </row>
    <row r="66" spans="1:9" ht="19.5" customHeight="1">
      <c r="A66" s="474">
        <v>4</v>
      </c>
      <c r="B66" s="942" t="s">
        <v>206</v>
      </c>
      <c r="C66" s="943"/>
      <c r="D66" s="944"/>
      <c r="E66" s="524"/>
      <c r="F66" s="666">
        <v>126459.983511578</v>
      </c>
      <c r="G66" s="666">
        <v>3513</v>
      </c>
      <c r="H66" s="666">
        <v>2080</v>
      </c>
      <c r="I66" s="393">
        <f t="shared" si="1"/>
        <v>1</v>
      </c>
    </row>
    <row r="67" spans="1:9" ht="19.5" customHeight="1">
      <c r="A67" s="474">
        <v>5</v>
      </c>
      <c r="B67" s="942" t="s">
        <v>206</v>
      </c>
      <c r="C67" s="943"/>
      <c r="D67" s="944"/>
      <c r="E67" s="524"/>
      <c r="F67" s="666">
        <v>123072.941868256</v>
      </c>
      <c r="G67" s="666">
        <v>2689</v>
      </c>
      <c r="H67" s="666">
        <v>2080</v>
      </c>
      <c r="I67" s="393">
        <f t="shared" si="1"/>
        <v>1</v>
      </c>
    </row>
    <row r="68" spans="1:9" ht="19.5" customHeight="1">
      <c r="A68" s="474">
        <v>6</v>
      </c>
      <c r="B68" s="942" t="s">
        <v>206</v>
      </c>
      <c r="C68" s="943"/>
      <c r="D68" s="944"/>
      <c r="E68" s="524"/>
      <c r="F68" s="666">
        <v>99138.5731594317</v>
      </c>
      <c r="G68" s="666">
        <v>673</v>
      </c>
      <c r="H68" s="666">
        <v>2080</v>
      </c>
      <c r="I68" s="393">
        <f t="shared" si="1"/>
        <v>1</v>
      </c>
    </row>
    <row r="69" spans="1:9" ht="19.5" customHeight="1">
      <c r="A69" s="474">
        <v>7</v>
      </c>
      <c r="B69" s="942" t="s">
        <v>206</v>
      </c>
      <c r="C69" s="943"/>
      <c r="D69" s="944"/>
      <c r="E69" s="524"/>
      <c r="F69" s="666">
        <v>46980.2262040391</v>
      </c>
      <c r="G69" s="666">
        <v>838</v>
      </c>
      <c r="H69" s="666">
        <v>715</v>
      </c>
      <c r="I69" s="393">
        <f t="shared" si="1"/>
        <v>0.34</v>
      </c>
    </row>
    <row r="70" spans="1:9" ht="19.5" customHeight="1">
      <c r="A70" s="474">
        <v>8</v>
      </c>
      <c r="B70" s="942" t="s">
        <v>708</v>
      </c>
      <c r="C70" s="943"/>
      <c r="D70" s="944"/>
      <c r="E70" s="524"/>
      <c r="F70" s="666">
        <v>129699.616040001</v>
      </c>
      <c r="G70" s="666">
        <v>2277</v>
      </c>
      <c r="H70" s="666">
        <v>2080</v>
      </c>
      <c r="I70" s="393">
        <f t="shared" si="1"/>
        <v>1</v>
      </c>
    </row>
    <row r="71" spans="1:9" ht="19.5" customHeight="1">
      <c r="A71" s="474">
        <v>9</v>
      </c>
      <c r="B71" s="942" t="s">
        <v>708</v>
      </c>
      <c r="C71" s="943"/>
      <c r="D71" s="944"/>
      <c r="E71" s="653"/>
      <c r="F71" s="666">
        <v>134855.86309839902</v>
      </c>
      <c r="G71" s="666">
        <v>2628</v>
      </c>
      <c r="H71" s="666">
        <v>2080</v>
      </c>
      <c r="I71" s="393">
        <f t="shared" si="1"/>
        <v>1</v>
      </c>
    </row>
    <row r="72" spans="1:9" ht="19.5" customHeight="1">
      <c r="A72" s="474">
        <v>10</v>
      </c>
      <c r="B72" s="942" t="s">
        <v>708</v>
      </c>
      <c r="C72" s="943"/>
      <c r="D72" s="944"/>
      <c r="E72" s="653"/>
      <c r="F72" s="666">
        <v>133303.153540155</v>
      </c>
      <c r="G72" s="666">
        <v>3864</v>
      </c>
      <c r="H72" s="666">
        <v>2080</v>
      </c>
      <c r="I72" s="393">
        <f t="shared" si="1"/>
        <v>1</v>
      </c>
    </row>
    <row r="73" spans="1:9" ht="19.5" customHeight="1">
      <c r="A73" s="474">
        <v>11</v>
      </c>
      <c r="B73" s="942" t="s">
        <v>708</v>
      </c>
      <c r="C73" s="943"/>
      <c r="D73" s="944"/>
      <c r="E73" s="653"/>
      <c r="F73" s="666">
        <v>70836.63498249071</v>
      </c>
      <c r="G73" s="666">
        <v>770</v>
      </c>
      <c r="H73" s="666">
        <v>1020</v>
      </c>
      <c r="I73" s="393">
        <f t="shared" si="1"/>
        <v>0.49</v>
      </c>
    </row>
    <row r="74" spans="1:9" ht="19.5" customHeight="1">
      <c r="A74" s="474">
        <v>12</v>
      </c>
      <c r="B74" s="942" t="s">
        <v>708</v>
      </c>
      <c r="C74" s="943"/>
      <c r="D74" s="944"/>
      <c r="E74" s="653"/>
      <c r="F74" s="666">
        <v>133271.80599078</v>
      </c>
      <c r="G74" s="666">
        <v>4094</v>
      </c>
      <c r="H74" s="666">
        <v>2080</v>
      </c>
      <c r="I74" s="393">
        <f t="shared" si="1"/>
        <v>1</v>
      </c>
    </row>
    <row r="75" spans="1:9" ht="19.5" customHeight="1">
      <c r="A75" s="474">
        <v>13</v>
      </c>
      <c r="B75" s="942" t="s">
        <v>708</v>
      </c>
      <c r="C75" s="943"/>
      <c r="D75" s="944"/>
      <c r="E75" s="653"/>
      <c r="F75" s="666">
        <v>93976.9505826033</v>
      </c>
      <c r="G75" s="666">
        <v>2233</v>
      </c>
      <c r="H75" s="666">
        <v>1484</v>
      </c>
      <c r="I75" s="393">
        <f t="shared" si="1"/>
        <v>0.71</v>
      </c>
    </row>
    <row r="76" spans="1:9" ht="19.5" customHeight="1">
      <c r="A76" s="474">
        <v>14</v>
      </c>
      <c r="B76" s="942" t="s">
        <v>708</v>
      </c>
      <c r="C76" s="943"/>
      <c r="D76" s="944"/>
      <c r="E76" s="653"/>
      <c r="F76" s="666">
        <v>130033.16925748433</v>
      </c>
      <c r="G76" s="666">
        <v>3218</v>
      </c>
      <c r="H76" s="666">
        <v>2080</v>
      </c>
      <c r="I76" s="393">
        <f t="shared" si="1"/>
        <v>1</v>
      </c>
    </row>
    <row r="77" spans="1:9" ht="19.5" customHeight="1">
      <c r="A77" s="474">
        <v>15</v>
      </c>
      <c r="B77" s="942" t="s">
        <v>708</v>
      </c>
      <c r="C77" s="943"/>
      <c r="D77" s="944"/>
      <c r="E77" s="653"/>
      <c r="F77" s="696"/>
      <c r="G77" s="735"/>
      <c r="H77" s="696"/>
      <c r="I77" s="393"/>
    </row>
    <row r="78" spans="1:9" ht="24.75" customHeight="1" thickBot="1">
      <c r="A78" s="293"/>
      <c r="B78" s="945" t="s">
        <v>256</v>
      </c>
      <c r="C78" s="946"/>
      <c r="D78" s="947"/>
      <c r="E78" s="525"/>
      <c r="F78" s="473">
        <f>SUM(F63:F77)</f>
        <v>1436046.491827288</v>
      </c>
      <c r="G78" s="473">
        <f>SUM(G63:G77)</f>
        <v>32002</v>
      </c>
      <c r="H78" s="473">
        <f>SUM(H63:H77)</f>
        <v>23216.333333333336</v>
      </c>
      <c r="I78" s="654">
        <f>SUM(I63:I77)</f>
        <v>11.149999999999999</v>
      </c>
    </row>
    <row r="79" ht="19.5" customHeight="1" thickTop="1"/>
    <row r="80" spans="1:9" ht="19.5" customHeight="1">
      <c r="A80" s="207" t="s">
        <v>91</v>
      </c>
      <c r="B80" s="971" t="s">
        <v>287</v>
      </c>
      <c r="C80" s="972"/>
      <c r="D80" s="972"/>
      <c r="E80" s="527"/>
      <c r="F80" s="338"/>
      <c r="G80" s="338"/>
      <c r="H80" s="390"/>
      <c r="I80" s="391"/>
    </row>
    <row r="81" spans="1:9" ht="19.5" customHeight="1">
      <c r="A81" s="474">
        <v>1</v>
      </c>
      <c r="B81" s="517" t="s">
        <v>452</v>
      </c>
      <c r="C81" s="736"/>
      <c r="D81" s="737"/>
      <c r="E81" s="482"/>
      <c r="F81" s="666">
        <v>4918.92920796105</v>
      </c>
      <c r="G81" s="666"/>
      <c r="H81" s="746">
        <v>206</v>
      </c>
      <c r="I81" s="393">
        <f aca="true" t="shared" si="2" ref="I81:I144">ROUND(H81/2080,2)</f>
        <v>0.1</v>
      </c>
    </row>
    <row r="82" spans="1:9" ht="19.5" customHeight="1">
      <c r="A82" s="474">
        <v>2</v>
      </c>
      <c r="B82" s="517" t="s">
        <v>746</v>
      </c>
      <c r="C82" s="736"/>
      <c r="D82" s="737"/>
      <c r="E82" s="482"/>
      <c r="F82" s="666">
        <v>26209.8081658041</v>
      </c>
      <c r="G82" s="666">
        <v>52</v>
      </c>
      <c r="H82" s="746">
        <v>693.3333333333334</v>
      </c>
      <c r="I82" s="393">
        <f t="shared" si="2"/>
        <v>0.33</v>
      </c>
    </row>
    <row r="83" spans="1:9" ht="19.5" customHeight="1">
      <c r="A83" s="474">
        <v>3</v>
      </c>
      <c r="B83" s="517" t="s">
        <v>478</v>
      </c>
      <c r="C83" s="736"/>
      <c r="D83" s="737"/>
      <c r="E83" s="482"/>
      <c r="F83" s="666">
        <v>86314.8461821536</v>
      </c>
      <c r="G83" s="666">
        <v>722</v>
      </c>
      <c r="H83" s="746">
        <v>2080</v>
      </c>
      <c r="I83" s="393">
        <f t="shared" si="2"/>
        <v>1</v>
      </c>
    </row>
    <row r="84" spans="1:9" ht="19.5" customHeight="1">
      <c r="A84" s="474">
        <v>4</v>
      </c>
      <c r="B84" s="517" t="s">
        <v>478</v>
      </c>
      <c r="C84" s="736"/>
      <c r="D84" s="737"/>
      <c r="E84" s="482"/>
      <c r="F84" s="666">
        <v>77806.6531040746</v>
      </c>
      <c r="G84" s="666">
        <v>825</v>
      </c>
      <c r="H84" s="746">
        <v>2080</v>
      </c>
      <c r="I84" s="393">
        <f t="shared" si="2"/>
        <v>1</v>
      </c>
    </row>
    <row r="85" spans="1:9" ht="19.5" customHeight="1">
      <c r="A85" s="474">
        <v>5</v>
      </c>
      <c r="B85" s="517" t="s">
        <v>479</v>
      </c>
      <c r="C85" s="736"/>
      <c r="D85" s="737"/>
      <c r="E85" s="482"/>
      <c r="F85" s="666">
        <v>29146.8394534053</v>
      </c>
      <c r="G85" s="666">
        <v>446</v>
      </c>
      <c r="H85" s="746">
        <v>520</v>
      </c>
      <c r="I85" s="393">
        <f t="shared" si="2"/>
        <v>0.25</v>
      </c>
    </row>
    <row r="86" spans="1:9" ht="19.5" customHeight="1">
      <c r="A86" s="474">
        <v>6</v>
      </c>
      <c r="B86" s="517" t="s">
        <v>478</v>
      </c>
      <c r="C86" s="738"/>
      <c r="D86" s="739"/>
      <c r="E86" s="482"/>
      <c r="F86" s="666">
        <v>106161.325735886</v>
      </c>
      <c r="G86" s="666">
        <v>71</v>
      </c>
      <c r="H86" s="746">
        <v>2080</v>
      </c>
      <c r="I86" s="393">
        <f t="shared" si="2"/>
        <v>1</v>
      </c>
    </row>
    <row r="87" spans="1:9" ht="19.5" customHeight="1">
      <c r="A87" s="474">
        <v>7</v>
      </c>
      <c r="B87" s="517" t="s">
        <v>479</v>
      </c>
      <c r="C87" s="736"/>
      <c r="D87" s="737"/>
      <c r="E87" s="482"/>
      <c r="F87" s="666">
        <v>137060.483021582</v>
      </c>
      <c r="G87" s="666">
        <v>2858</v>
      </c>
      <c r="H87" s="746">
        <v>2080</v>
      </c>
      <c r="I87" s="393">
        <f t="shared" si="2"/>
        <v>1</v>
      </c>
    </row>
    <row r="88" spans="1:9" ht="19.5" customHeight="1">
      <c r="A88" s="474">
        <v>8</v>
      </c>
      <c r="B88" s="517" t="s">
        <v>452</v>
      </c>
      <c r="C88" s="736"/>
      <c r="D88" s="737"/>
      <c r="E88" s="482"/>
      <c r="F88" s="666">
        <v>310.70713874094</v>
      </c>
      <c r="G88" s="666">
        <v>0</v>
      </c>
      <c r="H88" s="746">
        <v>10</v>
      </c>
      <c r="I88" s="393">
        <f t="shared" si="2"/>
        <v>0</v>
      </c>
    </row>
    <row r="89" spans="1:9" ht="19.5" customHeight="1">
      <c r="A89" s="474">
        <v>9</v>
      </c>
      <c r="B89" s="517" t="s">
        <v>478</v>
      </c>
      <c r="C89" s="736"/>
      <c r="D89" s="737"/>
      <c r="E89" s="482"/>
      <c r="F89" s="666">
        <v>83118.3935679222</v>
      </c>
      <c r="G89" s="666">
        <v>1231</v>
      </c>
      <c r="H89" s="746">
        <v>2080</v>
      </c>
      <c r="I89" s="393">
        <f t="shared" si="2"/>
        <v>1</v>
      </c>
    </row>
    <row r="90" spans="1:9" ht="19.5" customHeight="1">
      <c r="A90" s="474">
        <v>10</v>
      </c>
      <c r="B90" s="517" t="s">
        <v>479</v>
      </c>
      <c r="C90" s="736"/>
      <c r="D90" s="737"/>
      <c r="E90" s="482"/>
      <c r="F90" s="666">
        <v>98704.9548948738</v>
      </c>
      <c r="G90" s="666">
        <v>1598</v>
      </c>
      <c r="H90" s="746">
        <v>2080</v>
      </c>
      <c r="I90" s="393">
        <f t="shared" si="2"/>
        <v>1</v>
      </c>
    </row>
    <row r="91" spans="1:9" ht="19.5" customHeight="1">
      <c r="A91" s="474">
        <v>11</v>
      </c>
      <c r="B91" s="517" t="s">
        <v>479</v>
      </c>
      <c r="C91" s="736"/>
      <c r="D91" s="737"/>
      <c r="E91" s="482"/>
      <c r="F91" s="666">
        <v>110968.136565952</v>
      </c>
      <c r="G91" s="666">
        <v>3308</v>
      </c>
      <c r="H91" s="746">
        <v>2080</v>
      </c>
      <c r="I91" s="393">
        <f t="shared" si="2"/>
        <v>1</v>
      </c>
    </row>
    <row r="92" spans="1:9" ht="19.5" customHeight="1">
      <c r="A92" s="474">
        <v>12</v>
      </c>
      <c r="B92" s="517" t="s">
        <v>746</v>
      </c>
      <c r="C92" s="736"/>
      <c r="D92" s="737"/>
      <c r="E92" s="482"/>
      <c r="F92" s="666">
        <v>4382.61131370156</v>
      </c>
      <c r="G92" s="666"/>
      <c r="H92" s="746">
        <v>104</v>
      </c>
      <c r="I92" s="393">
        <f t="shared" si="2"/>
        <v>0.05</v>
      </c>
    </row>
    <row r="93" spans="1:9" ht="19.5" customHeight="1">
      <c r="A93" s="474">
        <v>13</v>
      </c>
      <c r="B93" s="517" t="s">
        <v>747</v>
      </c>
      <c r="C93" s="736"/>
      <c r="D93" s="737"/>
      <c r="E93" s="482"/>
      <c r="F93" s="666">
        <v>71297.0087875169</v>
      </c>
      <c r="G93" s="666"/>
      <c r="H93" s="746">
        <v>2080</v>
      </c>
      <c r="I93" s="393">
        <f t="shared" si="2"/>
        <v>1</v>
      </c>
    </row>
    <row r="94" spans="1:9" ht="19.5" customHeight="1">
      <c r="A94" s="474">
        <v>14</v>
      </c>
      <c r="B94" s="517" t="s">
        <v>748</v>
      </c>
      <c r="C94" s="736"/>
      <c r="D94" s="737"/>
      <c r="E94" s="482"/>
      <c r="F94" s="666">
        <v>14243.47079284735</v>
      </c>
      <c r="G94" s="666"/>
      <c r="H94" s="746">
        <v>587</v>
      </c>
      <c r="I94" s="393">
        <f t="shared" si="2"/>
        <v>0.28</v>
      </c>
    </row>
    <row r="95" spans="1:9" ht="19.5" customHeight="1">
      <c r="A95" s="474">
        <v>15</v>
      </c>
      <c r="B95" s="517" t="s">
        <v>478</v>
      </c>
      <c r="C95" s="736"/>
      <c r="D95" s="737"/>
      <c r="E95" s="482"/>
      <c r="F95" s="666">
        <v>61580.0012811011</v>
      </c>
      <c r="G95" s="666"/>
      <c r="H95" s="746">
        <v>1248</v>
      </c>
      <c r="I95" s="393">
        <f t="shared" si="2"/>
        <v>0.6</v>
      </c>
    </row>
    <row r="96" spans="1:9" ht="19.5" customHeight="1">
      <c r="A96" s="474">
        <v>16</v>
      </c>
      <c r="B96" s="517" t="s">
        <v>749</v>
      </c>
      <c r="C96" s="736"/>
      <c r="D96" s="737"/>
      <c r="E96" s="482"/>
      <c r="F96" s="666">
        <v>15618.9877205583</v>
      </c>
      <c r="G96" s="666"/>
      <c r="H96" s="746">
        <v>346.6666666666667</v>
      </c>
      <c r="I96" s="393">
        <f t="shared" si="2"/>
        <v>0.17</v>
      </c>
    </row>
    <row r="97" spans="1:9" ht="19.5" customHeight="1">
      <c r="A97" s="474">
        <v>17</v>
      </c>
      <c r="B97" s="517" t="s">
        <v>479</v>
      </c>
      <c r="C97" s="736"/>
      <c r="D97" s="737"/>
      <c r="E97" s="482"/>
      <c r="F97" s="666">
        <v>59187.7354416495</v>
      </c>
      <c r="G97" s="666">
        <v>749</v>
      </c>
      <c r="H97" s="746">
        <v>2080</v>
      </c>
      <c r="I97" s="393">
        <f t="shared" si="2"/>
        <v>1</v>
      </c>
    </row>
    <row r="98" spans="1:9" ht="19.5" customHeight="1">
      <c r="A98" s="474">
        <v>18</v>
      </c>
      <c r="B98" s="517" t="s">
        <v>746</v>
      </c>
      <c r="C98" s="736"/>
      <c r="D98" s="737"/>
      <c r="E98" s="482"/>
      <c r="F98" s="666">
        <v>17979.6108551376</v>
      </c>
      <c r="G98" s="666">
        <v>27</v>
      </c>
      <c r="H98" s="746">
        <v>416</v>
      </c>
      <c r="I98" s="393">
        <f t="shared" si="2"/>
        <v>0.2</v>
      </c>
    </row>
    <row r="99" spans="1:9" ht="19.5" customHeight="1">
      <c r="A99" s="474">
        <v>19</v>
      </c>
      <c r="B99" s="517" t="s">
        <v>478</v>
      </c>
      <c r="C99" s="736"/>
      <c r="D99" s="737"/>
      <c r="E99" s="482"/>
      <c r="F99" s="666">
        <v>84976.224401632</v>
      </c>
      <c r="G99" s="666">
        <v>1061</v>
      </c>
      <c r="H99" s="746">
        <v>2080</v>
      </c>
      <c r="I99" s="393">
        <f t="shared" si="2"/>
        <v>1</v>
      </c>
    </row>
    <row r="100" spans="1:9" ht="19.5" customHeight="1">
      <c r="A100" s="474">
        <v>20</v>
      </c>
      <c r="B100" s="517" t="s">
        <v>479</v>
      </c>
      <c r="C100" s="738"/>
      <c r="D100" s="739"/>
      <c r="E100" s="482"/>
      <c r="F100" s="666">
        <v>97574.5704066294</v>
      </c>
      <c r="G100" s="666">
        <v>1116</v>
      </c>
      <c r="H100" s="746">
        <v>2080</v>
      </c>
      <c r="I100" s="393">
        <f t="shared" si="2"/>
        <v>1</v>
      </c>
    </row>
    <row r="101" spans="1:9" ht="19.5" customHeight="1">
      <c r="A101" s="474">
        <v>21</v>
      </c>
      <c r="B101" s="517" t="s">
        <v>747</v>
      </c>
      <c r="C101" s="736"/>
      <c r="D101" s="737"/>
      <c r="E101" s="482"/>
      <c r="F101" s="666">
        <v>17158.5798614566</v>
      </c>
      <c r="G101" s="666"/>
      <c r="H101" s="746">
        <v>434</v>
      </c>
      <c r="I101" s="393">
        <f t="shared" si="2"/>
        <v>0.21</v>
      </c>
    </row>
    <row r="102" spans="1:9" ht="19.5" customHeight="1">
      <c r="A102" s="474">
        <v>22</v>
      </c>
      <c r="B102" s="517" t="s">
        <v>478</v>
      </c>
      <c r="C102" s="736"/>
      <c r="D102" s="737"/>
      <c r="E102" s="482"/>
      <c r="F102" s="666">
        <v>57782.4797631543</v>
      </c>
      <c r="G102" s="666">
        <v>4</v>
      </c>
      <c r="H102" s="746">
        <v>1517</v>
      </c>
      <c r="I102" s="393">
        <f t="shared" si="2"/>
        <v>0.73</v>
      </c>
    </row>
    <row r="103" spans="1:9" ht="19.5" customHeight="1">
      <c r="A103" s="474">
        <v>23</v>
      </c>
      <c r="B103" s="517" t="s">
        <v>479</v>
      </c>
      <c r="C103" s="736"/>
      <c r="D103" s="737"/>
      <c r="E103" s="482"/>
      <c r="F103" s="666">
        <v>116427.31228962</v>
      </c>
      <c r="G103" s="666">
        <v>3740</v>
      </c>
      <c r="H103" s="746">
        <v>2080</v>
      </c>
      <c r="I103" s="393">
        <f t="shared" si="2"/>
        <v>1</v>
      </c>
    </row>
    <row r="104" spans="1:9" ht="19.5" customHeight="1">
      <c r="A104" s="474">
        <v>24</v>
      </c>
      <c r="B104" s="517" t="s">
        <v>478</v>
      </c>
      <c r="C104" s="736"/>
      <c r="D104" s="737"/>
      <c r="E104" s="482"/>
      <c r="F104" s="666">
        <v>43887.6785026551</v>
      </c>
      <c r="G104" s="666">
        <v>436</v>
      </c>
      <c r="H104" s="746">
        <v>1247</v>
      </c>
      <c r="I104" s="393">
        <f t="shared" si="2"/>
        <v>0.6</v>
      </c>
    </row>
    <row r="105" spans="1:9" ht="19.5" customHeight="1">
      <c r="A105" s="474">
        <v>25</v>
      </c>
      <c r="B105" s="517" t="s">
        <v>749</v>
      </c>
      <c r="C105" s="736"/>
      <c r="D105" s="737"/>
      <c r="E105" s="482"/>
      <c r="F105" s="666">
        <v>124366.079168857</v>
      </c>
      <c r="G105" s="666"/>
      <c r="H105" s="746">
        <v>2080</v>
      </c>
      <c r="I105" s="393">
        <f t="shared" si="2"/>
        <v>1</v>
      </c>
    </row>
    <row r="106" spans="1:9" ht="19.5" customHeight="1">
      <c r="A106" s="474">
        <v>26</v>
      </c>
      <c r="B106" s="517" t="s">
        <v>479</v>
      </c>
      <c r="C106" s="736"/>
      <c r="D106" s="737"/>
      <c r="E106" s="482"/>
      <c r="F106" s="666">
        <v>143337.605872872</v>
      </c>
      <c r="G106" s="666">
        <v>3113</v>
      </c>
      <c r="H106" s="746">
        <v>2080</v>
      </c>
      <c r="I106" s="393">
        <f t="shared" si="2"/>
        <v>1</v>
      </c>
    </row>
    <row r="107" spans="1:9" ht="19.5" customHeight="1">
      <c r="A107" s="474">
        <v>27</v>
      </c>
      <c r="B107" s="517" t="s">
        <v>479</v>
      </c>
      <c r="C107" s="736"/>
      <c r="D107" s="737"/>
      <c r="E107" s="482"/>
      <c r="F107" s="666">
        <v>104547.283165222</v>
      </c>
      <c r="G107" s="666">
        <v>1700</v>
      </c>
      <c r="H107" s="746">
        <v>2080</v>
      </c>
      <c r="I107" s="393">
        <f t="shared" si="2"/>
        <v>1</v>
      </c>
    </row>
    <row r="108" spans="1:9" ht="19.5" customHeight="1">
      <c r="A108" s="474">
        <v>28</v>
      </c>
      <c r="B108" s="517" t="s">
        <v>478</v>
      </c>
      <c r="C108" s="736"/>
      <c r="D108" s="737"/>
      <c r="E108" s="482"/>
      <c r="F108" s="666">
        <v>22673.2855297321</v>
      </c>
      <c r="G108" s="666">
        <v>180</v>
      </c>
      <c r="H108" s="746">
        <v>520</v>
      </c>
      <c r="I108" s="393">
        <f t="shared" si="2"/>
        <v>0.25</v>
      </c>
    </row>
    <row r="109" spans="1:9" ht="19.5" customHeight="1">
      <c r="A109" s="474">
        <v>29</v>
      </c>
      <c r="B109" s="517" t="s">
        <v>478</v>
      </c>
      <c r="C109" s="736"/>
      <c r="D109" s="737"/>
      <c r="E109" s="482"/>
      <c r="F109" s="666">
        <v>36726.5038701088</v>
      </c>
      <c r="G109" s="666">
        <v>411</v>
      </c>
      <c r="H109" s="746">
        <v>1040</v>
      </c>
      <c r="I109" s="393">
        <f t="shared" si="2"/>
        <v>0.5</v>
      </c>
    </row>
    <row r="110" spans="1:9" ht="19.5" customHeight="1">
      <c r="A110" s="474">
        <v>30</v>
      </c>
      <c r="B110" s="517" t="s">
        <v>452</v>
      </c>
      <c r="C110" s="736"/>
      <c r="D110" s="737"/>
      <c r="E110" s="482"/>
      <c r="F110" s="666">
        <v>51716.07</v>
      </c>
      <c r="G110" s="666">
        <v>825</v>
      </c>
      <c r="H110" s="746">
        <v>2080</v>
      </c>
      <c r="I110" s="393">
        <f t="shared" si="2"/>
        <v>1</v>
      </c>
    </row>
    <row r="111" spans="1:9" ht="19.5" customHeight="1">
      <c r="A111" s="474">
        <v>31</v>
      </c>
      <c r="B111" s="517" t="s">
        <v>478</v>
      </c>
      <c r="C111" s="736"/>
      <c r="D111" s="737"/>
      <c r="E111" s="482"/>
      <c r="F111" s="666">
        <v>77466.1047267727</v>
      </c>
      <c r="G111" s="666">
        <v>143</v>
      </c>
      <c r="H111" s="746">
        <v>2080</v>
      </c>
      <c r="I111" s="393">
        <f t="shared" si="2"/>
        <v>1</v>
      </c>
    </row>
    <row r="112" spans="1:9" ht="19.5" customHeight="1">
      <c r="A112" s="474">
        <v>32</v>
      </c>
      <c r="B112" s="517" t="s">
        <v>748</v>
      </c>
      <c r="C112" s="736"/>
      <c r="D112" s="737"/>
      <c r="E112" s="482"/>
      <c r="F112" s="666">
        <v>43608.6140687866</v>
      </c>
      <c r="G112" s="666"/>
      <c r="H112" s="746">
        <v>1386.6666666666665</v>
      </c>
      <c r="I112" s="393">
        <f t="shared" si="2"/>
        <v>0.67</v>
      </c>
    </row>
    <row r="113" spans="1:9" ht="19.5" customHeight="1">
      <c r="A113" s="474">
        <v>33</v>
      </c>
      <c r="B113" s="517" t="s">
        <v>478</v>
      </c>
      <c r="C113" s="736"/>
      <c r="D113" s="737"/>
      <c r="E113" s="482"/>
      <c r="F113" s="666">
        <v>35786.67787762723</v>
      </c>
      <c r="G113" s="666">
        <v>151</v>
      </c>
      <c r="H113" s="746">
        <v>949</v>
      </c>
      <c r="I113" s="393">
        <f t="shared" si="2"/>
        <v>0.46</v>
      </c>
    </row>
    <row r="114" spans="1:9" ht="19.5" customHeight="1">
      <c r="A114" s="474">
        <v>34</v>
      </c>
      <c r="B114" s="517" t="s">
        <v>452</v>
      </c>
      <c r="C114" s="736"/>
      <c r="D114" s="737"/>
      <c r="E114" s="482"/>
      <c r="F114" s="666">
        <v>18501.55933900896</v>
      </c>
      <c r="G114" s="666">
        <v>11</v>
      </c>
      <c r="H114" s="746">
        <v>416</v>
      </c>
      <c r="I114" s="393">
        <f t="shared" si="2"/>
        <v>0.2</v>
      </c>
    </row>
    <row r="115" spans="1:9" ht="19.5" customHeight="1">
      <c r="A115" s="474">
        <v>35</v>
      </c>
      <c r="B115" s="517" t="s">
        <v>479</v>
      </c>
      <c r="C115" s="736"/>
      <c r="D115" s="737"/>
      <c r="E115" s="482"/>
      <c r="F115" s="666">
        <v>124940.227855657</v>
      </c>
      <c r="G115" s="666">
        <v>2589</v>
      </c>
      <c r="H115" s="746">
        <v>2080</v>
      </c>
      <c r="I115" s="393">
        <f t="shared" si="2"/>
        <v>1</v>
      </c>
    </row>
    <row r="116" spans="1:9" ht="19.5" customHeight="1">
      <c r="A116" s="474">
        <v>36</v>
      </c>
      <c r="B116" s="517" t="s">
        <v>479</v>
      </c>
      <c r="C116" s="736"/>
      <c r="D116" s="737"/>
      <c r="E116" s="482"/>
      <c r="F116" s="666">
        <v>95159.5063494504</v>
      </c>
      <c r="G116" s="666">
        <v>1201</v>
      </c>
      <c r="H116" s="746">
        <v>2080</v>
      </c>
      <c r="I116" s="393">
        <f t="shared" si="2"/>
        <v>1</v>
      </c>
    </row>
    <row r="117" spans="1:9" ht="19.5" customHeight="1">
      <c r="A117" s="474">
        <v>37</v>
      </c>
      <c r="B117" s="517" t="s">
        <v>480</v>
      </c>
      <c r="C117" s="736"/>
      <c r="D117" s="737"/>
      <c r="E117" s="482"/>
      <c r="F117" s="666">
        <v>114088.703684034</v>
      </c>
      <c r="G117" s="666">
        <v>2336</v>
      </c>
      <c r="H117" s="746">
        <v>1872</v>
      </c>
      <c r="I117" s="393">
        <f t="shared" si="2"/>
        <v>0.9</v>
      </c>
    </row>
    <row r="118" spans="1:9" ht="19.5" customHeight="1">
      <c r="A118" s="474">
        <v>38</v>
      </c>
      <c r="B118" s="517" t="s">
        <v>748</v>
      </c>
      <c r="C118" s="736"/>
      <c r="D118" s="737"/>
      <c r="E118" s="482"/>
      <c r="F118" s="666">
        <v>26188.38178500504</v>
      </c>
      <c r="G118" s="666"/>
      <c r="H118" s="746">
        <v>1009</v>
      </c>
      <c r="I118" s="393">
        <f t="shared" si="2"/>
        <v>0.49</v>
      </c>
    </row>
    <row r="119" spans="1:9" ht="19.5" customHeight="1">
      <c r="A119" s="474">
        <v>39</v>
      </c>
      <c r="B119" s="517" t="s">
        <v>479</v>
      </c>
      <c r="C119" s="736"/>
      <c r="D119" s="737"/>
      <c r="E119" s="482"/>
      <c r="F119" s="666">
        <v>116692.260148494</v>
      </c>
      <c r="G119" s="666">
        <v>1808</v>
      </c>
      <c r="H119" s="746">
        <v>2080</v>
      </c>
      <c r="I119" s="393">
        <f t="shared" si="2"/>
        <v>1</v>
      </c>
    </row>
    <row r="120" spans="1:9" ht="19.5" customHeight="1">
      <c r="A120" s="474">
        <v>40</v>
      </c>
      <c r="B120" s="517" t="s">
        <v>750</v>
      </c>
      <c r="C120" s="736"/>
      <c r="D120" s="737"/>
      <c r="E120" s="482"/>
      <c r="F120" s="666">
        <v>39851.997031664</v>
      </c>
      <c r="G120" s="666"/>
      <c r="H120" s="746">
        <v>668</v>
      </c>
      <c r="I120" s="393">
        <f t="shared" si="2"/>
        <v>0.32</v>
      </c>
    </row>
    <row r="121" spans="1:9" ht="19.5" customHeight="1">
      <c r="A121" s="474">
        <v>41</v>
      </c>
      <c r="B121" s="517" t="s">
        <v>479</v>
      </c>
      <c r="C121" s="736"/>
      <c r="D121" s="737"/>
      <c r="E121" s="482"/>
      <c r="F121" s="666">
        <v>59678.7215226244</v>
      </c>
      <c r="G121" s="666">
        <v>542</v>
      </c>
      <c r="H121" s="746">
        <v>1717</v>
      </c>
      <c r="I121" s="393">
        <f t="shared" si="2"/>
        <v>0.83</v>
      </c>
    </row>
    <row r="122" spans="1:9" ht="19.5" customHeight="1">
      <c r="A122" s="474">
        <v>42</v>
      </c>
      <c r="B122" s="517" t="s">
        <v>748</v>
      </c>
      <c r="C122" s="736"/>
      <c r="D122" s="737"/>
      <c r="E122" s="482"/>
      <c r="F122" s="666">
        <v>53724.43344895815</v>
      </c>
      <c r="G122" s="666"/>
      <c r="H122" s="746">
        <v>2080</v>
      </c>
      <c r="I122" s="393">
        <f t="shared" si="2"/>
        <v>1</v>
      </c>
    </row>
    <row r="123" spans="1:9" ht="19.5" customHeight="1">
      <c r="A123" s="474">
        <v>43</v>
      </c>
      <c r="B123" s="517" t="s">
        <v>478</v>
      </c>
      <c r="C123" s="736"/>
      <c r="D123" s="737"/>
      <c r="E123" s="482"/>
      <c r="F123" s="666">
        <v>41483.7998210486</v>
      </c>
      <c r="G123" s="666">
        <v>221</v>
      </c>
      <c r="H123" s="746">
        <v>884</v>
      </c>
      <c r="I123" s="393">
        <f t="shared" si="2"/>
        <v>0.43</v>
      </c>
    </row>
    <row r="124" spans="1:9" ht="19.5" customHeight="1">
      <c r="A124" s="474">
        <v>44</v>
      </c>
      <c r="B124" s="517" t="s">
        <v>479</v>
      </c>
      <c r="C124" s="736"/>
      <c r="D124" s="737"/>
      <c r="E124" s="482"/>
      <c r="F124" s="666">
        <v>154513.536469424</v>
      </c>
      <c r="G124" s="666">
        <v>2647</v>
      </c>
      <c r="H124" s="746">
        <v>2070</v>
      </c>
      <c r="I124" s="393">
        <f t="shared" si="2"/>
        <v>1</v>
      </c>
    </row>
    <row r="125" spans="1:9" ht="19.5" customHeight="1">
      <c r="A125" s="474">
        <v>45</v>
      </c>
      <c r="B125" s="517" t="s">
        <v>479</v>
      </c>
      <c r="C125" s="736"/>
      <c r="D125" s="737"/>
      <c r="E125" s="482"/>
      <c r="F125" s="666">
        <v>76874.8064877976</v>
      </c>
      <c r="G125" s="666">
        <v>1006</v>
      </c>
      <c r="H125" s="746">
        <v>1560</v>
      </c>
      <c r="I125" s="393">
        <f t="shared" si="2"/>
        <v>0.75</v>
      </c>
    </row>
    <row r="126" spans="1:9" ht="19.5" customHeight="1">
      <c r="A126" s="474">
        <v>46</v>
      </c>
      <c r="B126" s="517" t="s">
        <v>479</v>
      </c>
      <c r="C126" s="736"/>
      <c r="D126" s="737"/>
      <c r="E126" s="482"/>
      <c r="F126" s="666">
        <v>121171.244820973</v>
      </c>
      <c r="G126" s="666">
        <v>3505</v>
      </c>
      <c r="H126" s="746">
        <v>2080</v>
      </c>
      <c r="I126" s="393">
        <f t="shared" si="2"/>
        <v>1</v>
      </c>
    </row>
    <row r="127" spans="1:9" ht="19.5" customHeight="1">
      <c r="A127" s="474">
        <v>47</v>
      </c>
      <c r="B127" s="517" t="s">
        <v>479</v>
      </c>
      <c r="C127" s="738"/>
      <c r="D127" s="739"/>
      <c r="E127" s="482"/>
      <c r="F127" s="666">
        <v>95048.975704576</v>
      </c>
      <c r="G127" s="666">
        <v>1411</v>
      </c>
      <c r="H127" s="746">
        <v>2080</v>
      </c>
      <c r="I127" s="393">
        <f t="shared" si="2"/>
        <v>1</v>
      </c>
    </row>
    <row r="128" spans="1:9" ht="19.5" customHeight="1">
      <c r="A128" s="474">
        <v>48</v>
      </c>
      <c r="B128" s="517" t="s">
        <v>478</v>
      </c>
      <c r="C128" s="740"/>
      <c r="D128" s="741"/>
      <c r="E128" s="482"/>
      <c r="F128" s="666">
        <v>90840.4450676638</v>
      </c>
      <c r="G128" s="666">
        <v>37</v>
      </c>
      <c r="H128" s="746">
        <v>2080</v>
      </c>
      <c r="I128" s="393">
        <f t="shared" si="2"/>
        <v>1</v>
      </c>
    </row>
    <row r="129" spans="1:9" ht="19.5" customHeight="1">
      <c r="A129" s="474">
        <v>49</v>
      </c>
      <c r="B129" s="517" t="s">
        <v>479</v>
      </c>
      <c r="C129" s="742"/>
      <c r="D129" s="743"/>
      <c r="E129" s="482"/>
      <c r="F129" s="666">
        <v>113947.354734125</v>
      </c>
      <c r="G129" s="666">
        <v>1157</v>
      </c>
      <c r="H129" s="746">
        <v>2080</v>
      </c>
      <c r="I129" s="393">
        <f t="shared" si="2"/>
        <v>1</v>
      </c>
    </row>
    <row r="130" spans="1:9" ht="19.5" customHeight="1">
      <c r="A130" s="474">
        <v>50</v>
      </c>
      <c r="B130" s="517" t="s">
        <v>478</v>
      </c>
      <c r="C130" s="736"/>
      <c r="D130" s="737"/>
      <c r="E130" s="482"/>
      <c r="F130" s="666">
        <v>73110.7698521377</v>
      </c>
      <c r="G130" s="666">
        <v>757</v>
      </c>
      <c r="H130" s="746">
        <v>2080</v>
      </c>
      <c r="I130" s="393">
        <f t="shared" si="2"/>
        <v>1</v>
      </c>
    </row>
    <row r="131" spans="1:9" ht="19.5" customHeight="1">
      <c r="A131" s="474">
        <v>51</v>
      </c>
      <c r="B131" s="517" t="s">
        <v>479</v>
      </c>
      <c r="C131" s="736"/>
      <c r="D131" s="737"/>
      <c r="E131" s="482"/>
      <c r="F131" s="666">
        <v>135383.165218949</v>
      </c>
      <c r="G131" s="666">
        <v>2829</v>
      </c>
      <c r="H131" s="746">
        <v>2080</v>
      </c>
      <c r="I131" s="393">
        <f t="shared" si="2"/>
        <v>1</v>
      </c>
    </row>
    <row r="132" spans="1:9" ht="19.5" customHeight="1">
      <c r="A132" s="474">
        <v>52</v>
      </c>
      <c r="B132" s="517" t="s">
        <v>746</v>
      </c>
      <c r="C132" s="736"/>
      <c r="D132" s="737"/>
      <c r="E132" s="482"/>
      <c r="F132" s="666">
        <v>79575.4996442175</v>
      </c>
      <c r="G132" s="666"/>
      <c r="H132" s="746">
        <v>2080</v>
      </c>
      <c r="I132" s="393">
        <f t="shared" si="2"/>
        <v>1</v>
      </c>
    </row>
    <row r="133" spans="1:9" ht="19.5" customHeight="1">
      <c r="A133" s="474">
        <v>53</v>
      </c>
      <c r="B133" s="517" t="s">
        <v>748</v>
      </c>
      <c r="C133" s="736"/>
      <c r="D133" s="737"/>
      <c r="E133" s="482"/>
      <c r="F133" s="666">
        <v>10593.7618224436</v>
      </c>
      <c r="G133" s="666"/>
      <c r="H133" s="746">
        <v>354</v>
      </c>
      <c r="I133" s="393">
        <f t="shared" si="2"/>
        <v>0.17</v>
      </c>
    </row>
    <row r="134" spans="1:9" ht="19.5" customHeight="1">
      <c r="A134" s="474">
        <v>54</v>
      </c>
      <c r="B134" s="517" t="s">
        <v>479</v>
      </c>
      <c r="C134" s="736"/>
      <c r="D134" s="737"/>
      <c r="E134" s="482"/>
      <c r="F134" s="666">
        <v>92634.4205361856</v>
      </c>
      <c r="G134" s="666">
        <v>991</v>
      </c>
      <c r="H134" s="746">
        <v>2080</v>
      </c>
      <c r="I134" s="393">
        <f t="shared" si="2"/>
        <v>1</v>
      </c>
    </row>
    <row r="135" spans="1:9" ht="19.5" customHeight="1">
      <c r="A135" s="474">
        <v>55</v>
      </c>
      <c r="B135" s="517" t="s">
        <v>479</v>
      </c>
      <c r="C135" s="736"/>
      <c r="D135" s="737"/>
      <c r="E135" s="482"/>
      <c r="F135" s="666">
        <v>59501.8826686011</v>
      </c>
      <c r="G135" s="666">
        <v>704</v>
      </c>
      <c r="H135" s="746">
        <v>2080</v>
      </c>
      <c r="I135" s="393">
        <f t="shared" si="2"/>
        <v>1</v>
      </c>
    </row>
    <row r="136" spans="1:9" ht="19.5" customHeight="1">
      <c r="A136" s="474">
        <v>56</v>
      </c>
      <c r="B136" s="517" t="s">
        <v>478</v>
      </c>
      <c r="C136" s="736"/>
      <c r="D136" s="737"/>
      <c r="E136" s="482"/>
      <c r="F136" s="666">
        <v>10779.9947635037</v>
      </c>
      <c r="G136" s="666">
        <v>94</v>
      </c>
      <c r="H136" s="746">
        <v>373</v>
      </c>
      <c r="I136" s="393">
        <f t="shared" si="2"/>
        <v>0.18</v>
      </c>
    </row>
    <row r="137" spans="1:9" ht="19.5" customHeight="1">
      <c r="A137" s="474">
        <v>57</v>
      </c>
      <c r="B137" s="517" t="s">
        <v>478</v>
      </c>
      <c r="C137" s="736"/>
      <c r="D137" s="737"/>
      <c r="E137" s="482"/>
      <c r="F137" s="666">
        <v>90410.5867079703</v>
      </c>
      <c r="G137" s="666">
        <v>354</v>
      </c>
      <c r="H137" s="746">
        <v>2080</v>
      </c>
      <c r="I137" s="393">
        <f t="shared" si="2"/>
        <v>1</v>
      </c>
    </row>
    <row r="138" spans="1:9" ht="19.5" customHeight="1">
      <c r="A138" s="474">
        <v>58</v>
      </c>
      <c r="B138" s="517" t="s">
        <v>478</v>
      </c>
      <c r="C138" s="736"/>
      <c r="D138" s="737"/>
      <c r="E138" s="482"/>
      <c r="F138" s="666">
        <v>80168.6197050556</v>
      </c>
      <c r="G138" s="666">
        <v>1194</v>
      </c>
      <c r="H138" s="746">
        <v>2080</v>
      </c>
      <c r="I138" s="393">
        <f t="shared" si="2"/>
        <v>1</v>
      </c>
    </row>
    <row r="139" spans="1:9" ht="19.5" customHeight="1">
      <c r="A139" s="474">
        <v>59</v>
      </c>
      <c r="B139" s="517" t="s">
        <v>478</v>
      </c>
      <c r="C139" s="738"/>
      <c r="D139" s="739"/>
      <c r="E139" s="482"/>
      <c r="F139" s="666">
        <v>57599.0355326555</v>
      </c>
      <c r="G139" s="666">
        <v>452</v>
      </c>
      <c r="H139" s="746">
        <v>1248</v>
      </c>
      <c r="I139" s="393">
        <f t="shared" si="2"/>
        <v>0.6</v>
      </c>
    </row>
    <row r="140" spans="1:9" ht="19.5" customHeight="1">
      <c r="A140" s="474">
        <v>60</v>
      </c>
      <c r="B140" s="517" t="s">
        <v>479</v>
      </c>
      <c r="C140" s="736"/>
      <c r="D140" s="737"/>
      <c r="E140" s="482"/>
      <c r="F140" s="666">
        <v>97931.1589585466</v>
      </c>
      <c r="G140" s="666">
        <v>1554</v>
      </c>
      <c r="H140" s="746">
        <v>2080</v>
      </c>
      <c r="I140" s="393">
        <f t="shared" si="2"/>
        <v>1</v>
      </c>
    </row>
    <row r="141" spans="1:9" ht="19.5" customHeight="1">
      <c r="A141" s="474">
        <v>61</v>
      </c>
      <c r="B141" s="517" t="s">
        <v>479</v>
      </c>
      <c r="C141" s="736"/>
      <c r="D141" s="737"/>
      <c r="E141" s="482"/>
      <c r="F141" s="666">
        <v>93502.4728539291</v>
      </c>
      <c r="G141" s="666">
        <v>1068</v>
      </c>
      <c r="H141" s="746">
        <v>2080</v>
      </c>
      <c r="I141" s="393">
        <f t="shared" si="2"/>
        <v>1</v>
      </c>
    </row>
    <row r="142" spans="1:9" ht="19.5" customHeight="1">
      <c r="A142" s="474">
        <v>62</v>
      </c>
      <c r="B142" s="517" t="s">
        <v>478</v>
      </c>
      <c r="C142" s="736"/>
      <c r="D142" s="737"/>
      <c r="E142" s="482"/>
      <c r="F142" s="666">
        <v>93961.8264078074</v>
      </c>
      <c r="G142" s="666">
        <v>59</v>
      </c>
      <c r="H142" s="746">
        <v>1560</v>
      </c>
      <c r="I142" s="393">
        <f t="shared" si="2"/>
        <v>0.75</v>
      </c>
    </row>
    <row r="143" spans="1:9" ht="19.5" customHeight="1">
      <c r="A143" s="474">
        <v>63</v>
      </c>
      <c r="B143" s="517" t="s">
        <v>479</v>
      </c>
      <c r="C143" s="736"/>
      <c r="D143" s="737"/>
      <c r="E143" s="482"/>
      <c r="F143" s="666">
        <v>16597.9167275526</v>
      </c>
      <c r="G143" s="666"/>
      <c r="H143" s="746">
        <v>416</v>
      </c>
      <c r="I143" s="393">
        <f t="shared" si="2"/>
        <v>0.2</v>
      </c>
    </row>
    <row r="144" spans="1:9" ht="19.5" customHeight="1">
      <c r="A144" s="474">
        <v>64</v>
      </c>
      <c r="B144" s="517" t="s">
        <v>479</v>
      </c>
      <c r="C144" s="736"/>
      <c r="D144" s="737"/>
      <c r="E144" s="482"/>
      <c r="F144" s="666">
        <v>99980.8223350182</v>
      </c>
      <c r="G144" s="666">
        <v>833</v>
      </c>
      <c r="H144" s="746">
        <v>2080</v>
      </c>
      <c r="I144" s="393">
        <f t="shared" si="2"/>
        <v>1</v>
      </c>
    </row>
    <row r="145" spans="1:9" ht="19.5" customHeight="1">
      <c r="A145" s="474">
        <v>65</v>
      </c>
      <c r="B145" s="517" t="s">
        <v>479</v>
      </c>
      <c r="C145" s="736"/>
      <c r="D145" s="737"/>
      <c r="E145" s="482"/>
      <c r="F145" s="666">
        <v>130262.807650701</v>
      </c>
      <c r="G145" s="666">
        <v>3806</v>
      </c>
      <c r="H145" s="746">
        <v>2080</v>
      </c>
      <c r="I145" s="393">
        <f aca="true" t="shared" si="3" ref="I145:I208">ROUND(H145/2080,2)</f>
        <v>1</v>
      </c>
    </row>
    <row r="146" spans="1:9" ht="19.5" customHeight="1">
      <c r="A146" s="474">
        <v>66</v>
      </c>
      <c r="B146" s="517" t="s">
        <v>747</v>
      </c>
      <c r="C146" s="736"/>
      <c r="D146" s="737"/>
      <c r="E146" s="482"/>
      <c r="F146" s="666">
        <v>6882.72086522408</v>
      </c>
      <c r="G146" s="666"/>
      <c r="H146" s="746">
        <v>173.33333333333334</v>
      </c>
      <c r="I146" s="393">
        <f t="shared" si="3"/>
        <v>0.08</v>
      </c>
    </row>
    <row r="147" spans="1:9" ht="19.5" customHeight="1">
      <c r="A147" s="474">
        <v>67</v>
      </c>
      <c r="B147" s="517" t="s">
        <v>479</v>
      </c>
      <c r="C147" s="736"/>
      <c r="D147" s="737"/>
      <c r="E147" s="482"/>
      <c r="F147" s="666">
        <v>59187.7354416495</v>
      </c>
      <c r="G147" s="666">
        <v>627</v>
      </c>
      <c r="H147" s="746">
        <v>2080</v>
      </c>
      <c r="I147" s="393">
        <f t="shared" si="3"/>
        <v>1</v>
      </c>
    </row>
    <row r="148" spans="1:9" ht="19.5" customHeight="1">
      <c r="A148" s="474">
        <v>68</v>
      </c>
      <c r="B148" s="517" t="s">
        <v>479</v>
      </c>
      <c r="C148" s="736"/>
      <c r="D148" s="737"/>
      <c r="E148" s="482"/>
      <c r="F148" s="666">
        <v>105770.8286440579</v>
      </c>
      <c r="G148" s="666">
        <v>1068</v>
      </c>
      <c r="H148" s="746">
        <v>2080</v>
      </c>
      <c r="I148" s="393">
        <f t="shared" si="3"/>
        <v>1</v>
      </c>
    </row>
    <row r="149" spans="1:9" ht="19.5" customHeight="1">
      <c r="A149" s="474">
        <v>69</v>
      </c>
      <c r="B149" s="517" t="s">
        <v>748</v>
      </c>
      <c r="C149" s="736"/>
      <c r="D149" s="737"/>
      <c r="E149" s="482"/>
      <c r="F149" s="666">
        <v>49254.72140702001</v>
      </c>
      <c r="G149" s="666"/>
      <c r="H149" s="746">
        <v>1909</v>
      </c>
      <c r="I149" s="393">
        <f t="shared" si="3"/>
        <v>0.92</v>
      </c>
    </row>
    <row r="150" spans="1:9" ht="19.5" customHeight="1">
      <c r="A150" s="474">
        <v>70</v>
      </c>
      <c r="B150" s="517" t="s">
        <v>478</v>
      </c>
      <c r="C150" s="736"/>
      <c r="D150" s="737"/>
      <c r="E150" s="482"/>
      <c r="F150" s="666">
        <v>61365.0568345907</v>
      </c>
      <c r="G150" s="666">
        <v>192</v>
      </c>
      <c r="H150" s="746">
        <v>1248</v>
      </c>
      <c r="I150" s="393">
        <f t="shared" si="3"/>
        <v>0.6</v>
      </c>
    </row>
    <row r="151" spans="1:9" ht="19.5" customHeight="1">
      <c r="A151" s="474">
        <v>71</v>
      </c>
      <c r="B151" s="517" t="s">
        <v>746</v>
      </c>
      <c r="C151" s="736"/>
      <c r="D151" s="737"/>
      <c r="E151" s="482"/>
      <c r="F151" s="666">
        <v>4290.950265106798</v>
      </c>
      <c r="G151" s="666"/>
      <c r="H151" s="746">
        <v>104</v>
      </c>
      <c r="I151" s="393">
        <f t="shared" si="3"/>
        <v>0.05</v>
      </c>
    </row>
    <row r="152" spans="1:9" ht="19.5" customHeight="1">
      <c r="A152" s="474">
        <v>72</v>
      </c>
      <c r="B152" s="517" t="s">
        <v>478</v>
      </c>
      <c r="C152" s="736"/>
      <c r="D152" s="737"/>
      <c r="E152" s="482"/>
      <c r="F152" s="666">
        <v>62295.1223401078</v>
      </c>
      <c r="G152" s="666">
        <v>472</v>
      </c>
      <c r="H152" s="746">
        <v>2080</v>
      </c>
      <c r="I152" s="393">
        <f t="shared" si="3"/>
        <v>1</v>
      </c>
    </row>
    <row r="153" spans="1:9" ht="19.5" customHeight="1">
      <c r="A153" s="474">
        <v>73</v>
      </c>
      <c r="B153" s="517" t="s">
        <v>747</v>
      </c>
      <c r="C153" s="736"/>
      <c r="D153" s="737"/>
      <c r="E153" s="482"/>
      <c r="F153" s="666">
        <v>59765.9755943102</v>
      </c>
      <c r="G153" s="666"/>
      <c r="H153" s="746">
        <v>2080</v>
      </c>
      <c r="I153" s="393">
        <f t="shared" si="3"/>
        <v>1</v>
      </c>
    </row>
    <row r="154" spans="1:9" ht="19.5" customHeight="1">
      <c r="A154" s="474">
        <v>74</v>
      </c>
      <c r="B154" s="517" t="s">
        <v>479</v>
      </c>
      <c r="C154" s="736"/>
      <c r="D154" s="737"/>
      <c r="E154" s="482"/>
      <c r="F154" s="666">
        <v>110497.38390321</v>
      </c>
      <c r="G154" s="666">
        <v>2167</v>
      </c>
      <c r="H154" s="746">
        <v>2080</v>
      </c>
      <c r="I154" s="393">
        <f t="shared" si="3"/>
        <v>1</v>
      </c>
    </row>
    <row r="155" spans="1:9" ht="19.5" customHeight="1">
      <c r="A155" s="474">
        <v>75</v>
      </c>
      <c r="B155" s="517" t="s">
        <v>751</v>
      </c>
      <c r="C155" s="736"/>
      <c r="D155" s="737"/>
      <c r="E155" s="482"/>
      <c r="F155" s="666">
        <v>36291.5543287236</v>
      </c>
      <c r="G155" s="666"/>
      <c r="H155" s="746">
        <v>1662</v>
      </c>
      <c r="I155" s="393">
        <f t="shared" si="3"/>
        <v>0.8</v>
      </c>
    </row>
    <row r="156" spans="1:9" ht="19.5" customHeight="1">
      <c r="A156" s="474">
        <v>76</v>
      </c>
      <c r="B156" s="517" t="s">
        <v>752</v>
      </c>
      <c r="C156" s="736"/>
      <c r="D156" s="737"/>
      <c r="E156" s="482"/>
      <c r="F156" s="666">
        <v>101007.890396382</v>
      </c>
      <c r="G156" s="666">
        <v>64</v>
      </c>
      <c r="H156" s="746">
        <v>2080</v>
      </c>
      <c r="I156" s="393">
        <f t="shared" si="3"/>
        <v>1</v>
      </c>
    </row>
    <row r="157" spans="1:9" ht="19.5" customHeight="1">
      <c r="A157" s="474">
        <v>77</v>
      </c>
      <c r="B157" s="517" t="s">
        <v>478</v>
      </c>
      <c r="C157" s="736"/>
      <c r="D157" s="737"/>
      <c r="E157" s="482"/>
      <c r="F157" s="666">
        <v>117526.369584041</v>
      </c>
      <c r="G157" s="666">
        <v>47</v>
      </c>
      <c r="H157" s="746">
        <v>2080</v>
      </c>
      <c r="I157" s="393">
        <f t="shared" si="3"/>
        <v>1</v>
      </c>
    </row>
    <row r="158" spans="1:9" ht="19.5" customHeight="1">
      <c r="A158" s="474">
        <v>78</v>
      </c>
      <c r="B158" s="517" t="s">
        <v>750</v>
      </c>
      <c r="C158" s="736"/>
      <c r="D158" s="737"/>
      <c r="E158" s="482"/>
      <c r="F158" s="666">
        <v>84339.6919595674</v>
      </c>
      <c r="G158" s="666">
        <v>900</v>
      </c>
      <c r="H158" s="746">
        <v>2080</v>
      </c>
      <c r="I158" s="393">
        <f t="shared" si="3"/>
        <v>1</v>
      </c>
    </row>
    <row r="159" spans="1:9" ht="19.5" customHeight="1">
      <c r="A159" s="474">
        <v>79</v>
      </c>
      <c r="B159" s="517" t="s">
        <v>478</v>
      </c>
      <c r="C159" s="736"/>
      <c r="D159" s="737"/>
      <c r="E159" s="482"/>
      <c r="F159" s="666">
        <v>79319.4776946948</v>
      </c>
      <c r="G159" s="666">
        <v>813</v>
      </c>
      <c r="H159" s="746">
        <v>2080</v>
      </c>
      <c r="I159" s="393">
        <f t="shared" si="3"/>
        <v>1</v>
      </c>
    </row>
    <row r="160" spans="1:9" ht="19.5" customHeight="1">
      <c r="A160" s="474">
        <v>80</v>
      </c>
      <c r="B160" s="517" t="s">
        <v>479</v>
      </c>
      <c r="C160" s="736"/>
      <c r="D160" s="737"/>
      <c r="E160" s="482"/>
      <c r="F160" s="666">
        <v>50497.502666128</v>
      </c>
      <c r="G160" s="666">
        <v>1518</v>
      </c>
      <c r="H160" s="746">
        <v>1248</v>
      </c>
      <c r="I160" s="393">
        <f t="shared" si="3"/>
        <v>0.6</v>
      </c>
    </row>
    <row r="161" spans="1:9" ht="19.5" customHeight="1">
      <c r="A161" s="474">
        <v>81</v>
      </c>
      <c r="B161" s="517" t="s">
        <v>479</v>
      </c>
      <c r="C161" s="736"/>
      <c r="D161" s="737"/>
      <c r="E161" s="482"/>
      <c r="F161" s="666">
        <v>92572.8246372187</v>
      </c>
      <c r="G161" s="666">
        <v>1535</v>
      </c>
      <c r="H161" s="746">
        <v>2080</v>
      </c>
      <c r="I161" s="393">
        <f t="shared" si="3"/>
        <v>1</v>
      </c>
    </row>
    <row r="162" spans="1:9" ht="19.5" customHeight="1">
      <c r="A162" s="474">
        <v>82</v>
      </c>
      <c r="B162" s="517" t="s">
        <v>479</v>
      </c>
      <c r="C162" s="736"/>
      <c r="D162" s="737"/>
      <c r="E162" s="482"/>
      <c r="F162" s="666">
        <v>80645.20537480267</v>
      </c>
      <c r="G162" s="666">
        <v>1573</v>
      </c>
      <c r="H162" s="746">
        <v>2624</v>
      </c>
      <c r="I162" s="393">
        <f t="shared" si="3"/>
        <v>1.26</v>
      </c>
    </row>
    <row r="163" spans="1:9" ht="19.5" customHeight="1">
      <c r="A163" s="474">
        <v>83</v>
      </c>
      <c r="B163" s="517" t="s">
        <v>479</v>
      </c>
      <c r="C163" s="736"/>
      <c r="D163" s="737"/>
      <c r="E163" s="482"/>
      <c r="F163" s="666">
        <v>101355.990683306</v>
      </c>
      <c r="G163" s="666">
        <v>2317</v>
      </c>
      <c r="H163" s="746">
        <v>1664</v>
      </c>
      <c r="I163" s="393">
        <f t="shared" si="3"/>
        <v>0.8</v>
      </c>
    </row>
    <row r="164" spans="1:9" ht="19.5" customHeight="1">
      <c r="A164" s="474">
        <v>84</v>
      </c>
      <c r="B164" s="517" t="s">
        <v>479</v>
      </c>
      <c r="C164" s="736"/>
      <c r="D164" s="737"/>
      <c r="E164" s="482"/>
      <c r="F164" s="666">
        <v>80766.6454538154</v>
      </c>
      <c r="G164" s="666">
        <v>513</v>
      </c>
      <c r="H164" s="746">
        <v>1820</v>
      </c>
      <c r="I164" s="393">
        <f t="shared" si="3"/>
        <v>0.88</v>
      </c>
    </row>
    <row r="165" spans="1:9" ht="19.5" customHeight="1">
      <c r="A165" s="474">
        <v>85</v>
      </c>
      <c r="B165" s="517" t="s">
        <v>748</v>
      </c>
      <c r="C165" s="736"/>
      <c r="D165" s="737"/>
      <c r="E165" s="482"/>
      <c r="F165" s="666">
        <v>26659.20030029608</v>
      </c>
      <c r="G165" s="666"/>
      <c r="H165" s="746">
        <v>641.3333333333334</v>
      </c>
      <c r="I165" s="393">
        <f t="shared" si="3"/>
        <v>0.31</v>
      </c>
    </row>
    <row r="166" spans="1:9" ht="19.5" customHeight="1">
      <c r="A166" s="474">
        <v>86</v>
      </c>
      <c r="B166" s="517" t="s">
        <v>478</v>
      </c>
      <c r="C166" s="736"/>
      <c r="D166" s="737"/>
      <c r="E166" s="482"/>
      <c r="F166" s="666">
        <v>54504.5744094265</v>
      </c>
      <c r="G166" s="666">
        <v>548</v>
      </c>
      <c r="H166" s="746">
        <v>1248</v>
      </c>
      <c r="I166" s="393">
        <f t="shared" si="3"/>
        <v>0.6</v>
      </c>
    </row>
    <row r="167" spans="1:9" ht="19.5" customHeight="1">
      <c r="A167" s="474">
        <v>87</v>
      </c>
      <c r="B167" s="517" t="s">
        <v>452</v>
      </c>
      <c r="C167" s="736"/>
      <c r="D167" s="737"/>
      <c r="E167" s="482"/>
      <c r="F167" s="666">
        <v>30034.4025673022</v>
      </c>
      <c r="G167" s="666">
        <v>45</v>
      </c>
      <c r="H167" s="746">
        <v>978</v>
      </c>
      <c r="I167" s="393">
        <f t="shared" si="3"/>
        <v>0.47</v>
      </c>
    </row>
    <row r="168" spans="1:9" ht="19.5" customHeight="1">
      <c r="A168" s="474">
        <v>88</v>
      </c>
      <c r="B168" s="517" t="s">
        <v>746</v>
      </c>
      <c r="C168" s="736"/>
      <c r="D168" s="737"/>
      <c r="E168" s="482"/>
      <c r="F168" s="666">
        <v>2573.75593700239</v>
      </c>
      <c r="G168" s="666">
        <v>8</v>
      </c>
      <c r="H168" s="746">
        <v>80</v>
      </c>
      <c r="I168" s="393">
        <f t="shared" si="3"/>
        <v>0.04</v>
      </c>
    </row>
    <row r="169" spans="1:9" ht="19.5" customHeight="1">
      <c r="A169" s="474">
        <v>89</v>
      </c>
      <c r="B169" s="517" t="s">
        <v>479</v>
      </c>
      <c r="C169" s="736"/>
      <c r="D169" s="737"/>
      <c r="E169" s="482"/>
      <c r="F169" s="666">
        <v>125943.078444672</v>
      </c>
      <c r="G169" s="666">
        <v>2426</v>
      </c>
      <c r="H169" s="746">
        <v>2080</v>
      </c>
      <c r="I169" s="393">
        <f t="shared" si="3"/>
        <v>1</v>
      </c>
    </row>
    <row r="170" spans="1:9" ht="19.5" customHeight="1">
      <c r="A170" s="474">
        <v>90</v>
      </c>
      <c r="B170" s="517" t="s">
        <v>479</v>
      </c>
      <c r="C170" s="736"/>
      <c r="D170" s="737"/>
      <c r="E170" s="482"/>
      <c r="F170" s="666">
        <v>123542.666575645</v>
      </c>
      <c r="G170" s="666">
        <v>2707</v>
      </c>
      <c r="H170" s="746">
        <v>2080</v>
      </c>
      <c r="I170" s="393">
        <f t="shared" si="3"/>
        <v>1</v>
      </c>
    </row>
    <row r="171" spans="1:9" ht="19.5" customHeight="1">
      <c r="A171" s="474">
        <v>91</v>
      </c>
      <c r="B171" s="517" t="s">
        <v>479</v>
      </c>
      <c r="C171" s="736"/>
      <c r="D171" s="737"/>
      <c r="E171" s="482"/>
      <c r="F171" s="666">
        <v>59187.7354416495</v>
      </c>
      <c r="G171" s="666">
        <v>744</v>
      </c>
      <c r="H171" s="746">
        <v>1712</v>
      </c>
      <c r="I171" s="393">
        <f t="shared" si="3"/>
        <v>0.82</v>
      </c>
    </row>
    <row r="172" spans="1:9" ht="19.5" customHeight="1">
      <c r="A172" s="474">
        <v>92</v>
      </c>
      <c r="B172" s="517" t="s">
        <v>479</v>
      </c>
      <c r="C172" s="736"/>
      <c r="D172" s="737"/>
      <c r="E172" s="482"/>
      <c r="F172" s="666">
        <v>32412.6223542273</v>
      </c>
      <c r="G172" s="666">
        <v>182</v>
      </c>
      <c r="H172" s="746">
        <v>648</v>
      </c>
      <c r="I172" s="393">
        <f t="shared" si="3"/>
        <v>0.31</v>
      </c>
    </row>
    <row r="173" spans="1:9" ht="19.5" customHeight="1">
      <c r="A173" s="474">
        <v>93</v>
      </c>
      <c r="B173" s="517" t="s">
        <v>478</v>
      </c>
      <c r="C173" s="736"/>
      <c r="D173" s="737"/>
      <c r="E173" s="482"/>
      <c r="F173" s="666">
        <v>72505.090415998</v>
      </c>
      <c r="G173" s="666">
        <v>890</v>
      </c>
      <c r="H173" s="746">
        <v>2080</v>
      </c>
      <c r="I173" s="393">
        <f t="shared" si="3"/>
        <v>1</v>
      </c>
    </row>
    <row r="174" spans="1:9" ht="19.5" customHeight="1">
      <c r="A174" s="474">
        <v>94</v>
      </c>
      <c r="B174" s="517" t="s">
        <v>479</v>
      </c>
      <c r="C174" s="736"/>
      <c r="D174" s="737"/>
      <c r="E174" s="482"/>
      <c r="F174" s="666">
        <v>111936.022686235</v>
      </c>
      <c r="G174" s="666">
        <v>2852</v>
      </c>
      <c r="H174" s="746">
        <v>2080</v>
      </c>
      <c r="I174" s="393">
        <f t="shared" si="3"/>
        <v>1</v>
      </c>
    </row>
    <row r="175" spans="1:9" ht="19.5" customHeight="1">
      <c r="A175" s="474">
        <v>95</v>
      </c>
      <c r="B175" s="517" t="s">
        <v>479</v>
      </c>
      <c r="C175" s="736"/>
      <c r="D175" s="737"/>
      <c r="E175" s="482"/>
      <c r="F175" s="666">
        <v>70562.3158657024</v>
      </c>
      <c r="G175" s="666">
        <v>1591</v>
      </c>
      <c r="H175" s="746">
        <v>2080</v>
      </c>
      <c r="I175" s="393">
        <f t="shared" si="3"/>
        <v>1</v>
      </c>
    </row>
    <row r="176" spans="1:9" ht="19.5" customHeight="1">
      <c r="A176" s="474">
        <v>96</v>
      </c>
      <c r="B176" s="517" t="s">
        <v>479</v>
      </c>
      <c r="C176" s="736"/>
      <c r="D176" s="737"/>
      <c r="E176" s="482"/>
      <c r="F176" s="666">
        <v>52611.3147382574</v>
      </c>
      <c r="G176" s="666">
        <v>656</v>
      </c>
      <c r="H176" s="746">
        <v>1520</v>
      </c>
      <c r="I176" s="393">
        <f t="shared" si="3"/>
        <v>0.73</v>
      </c>
    </row>
    <row r="177" spans="1:9" ht="19.5" customHeight="1">
      <c r="A177" s="474">
        <v>97</v>
      </c>
      <c r="B177" s="517" t="s">
        <v>478</v>
      </c>
      <c r="C177" s="736"/>
      <c r="D177" s="737"/>
      <c r="E177" s="482"/>
      <c r="F177" s="666">
        <v>83808.7317429262</v>
      </c>
      <c r="G177" s="666">
        <v>644</v>
      </c>
      <c r="H177" s="746">
        <v>2080</v>
      </c>
      <c r="I177" s="393">
        <f t="shared" si="3"/>
        <v>1</v>
      </c>
    </row>
    <row r="178" spans="1:9" ht="19.5" customHeight="1">
      <c r="A178" s="474">
        <v>98</v>
      </c>
      <c r="B178" s="517" t="s">
        <v>478</v>
      </c>
      <c r="C178" s="736"/>
      <c r="D178" s="737"/>
      <c r="E178" s="482"/>
      <c r="F178" s="666">
        <v>65468.6138921995</v>
      </c>
      <c r="G178" s="666">
        <v>512</v>
      </c>
      <c r="H178" s="746">
        <v>2080</v>
      </c>
      <c r="I178" s="393">
        <f t="shared" si="3"/>
        <v>1</v>
      </c>
    </row>
    <row r="179" spans="1:9" ht="19.5" customHeight="1">
      <c r="A179" s="474">
        <v>99</v>
      </c>
      <c r="B179" s="517" t="s">
        <v>478</v>
      </c>
      <c r="C179" s="736"/>
      <c r="D179" s="737"/>
      <c r="E179" s="482"/>
      <c r="F179" s="666">
        <v>72755.1685444704</v>
      </c>
      <c r="G179" s="666">
        <v>854</v>
      </c>
      <c r="H179" s="746">
        <v>2080</v>
      </c>
      <c r="I179" s="393">
        <f t="shared" si="3"/>
        <v>1</v>
      </c>
    </row>
    <row r="180" spans="1:9" ht="19.5" customHeight="1">
      <c r="A180" s="474">
        <v>100</v>
      </c>
      <c r="B180" s="517" t="s">
        <v>478</v>
      </c>
      <c r="C180" s="736"/>
      <c r="D180" s="737"/>
      <c r="E180" s="482"/>
      <c r="F180" s="666">
        <v>35566.6241876797</v>
      </c>
      <c r="G180" s="666">
        <v>391</v>
      </c>
      <c r="H180" s="746">
        <v>937</v>
      </c>
      <c r="I180" s="393">
        <f t="shared" si="3"/>
        <v>0.45</v>
      </c>
    </row>
    <row r="181" spans="1:9" ht="19.5" customHeight="1">
      <c r="A181" s="474">
        <v>101</v>
      </c>
      <c r="B181" s="517" t="s">
        <v>479</v>
      </c>
      <c r="C181" s="736"/>
      <c r="D181" s="737"/>
      <c r="E181" s="482"/>
      <c r="F181" s="666">
        <v>87298.5180326572</v>
      </c>
      <c r="G181" s="666">
        <v>1426</v>
      </c>
      <c r="H181" s="746">
        <v>1820</v>
      </c>
      <c r="I181" s="393">
        <f t="shared" si="3"/>
        <v>0.88</v>
      </c>
    </row>
    <row r="182" spans="1:9" ht="19.5" customHeight="1">
      <c r="A182" s="474">
        <v>102</v>
      </c>
      <c r="B182" s="517" t="s">
        <v>478</v>
      </c>
      <c r="C182" s="736"/>
      <c r="D182" s="737"/>
      <c r="E182" s="482"/>
      <c r="F182" s="666">
        <v>50655.9401015571</v>
      </c>
      <c r="G182" s="666">
        <v>322</v>
      </c>
      <c r="H182" s="746">
        <v>1248</v>
      </c>
      <c r="I182" s="393">
        <f t="shared" si="3"/>
        <v>0.6</v>
      </c>
    </row>
    <row r="183" spans="1:9" ht="19.5" customHeight="1">
      <c r="A183" s="474">
        <v>103</v>
      </c>
      <c r="B183" s="517" t="s">
        <v>479</v>
      </c>
      <c r="C183" s="736"/>
      <c r="D183" s="737"/>
      <c r="E183" s="482"/>
      <c r="F183" s="666">
        <v>62933.7370586429</v>
      </c>
      <c r="G183" s="666">
        <v>582</v>
      </c>
      <c r="H183" s="746">
        <v>2080</v>
      </c>
      <c r="I183" s="393">
        <f t="shared" si="3"/>
        <v>1</v>
      </c>
    </row>
    <row r="184" spans="1:9" ht="19.5" customHeight="1">
      <c r="A184" s="474">
        <v>104</v>
      </c>
      <c r="B184" s="517" t="s">
        <v>748</v>
      </c>
      <c r="C184" s="736"/>
      <c r="D184" s="737"/>
      <c r="E184" s="482"/>
      <c r="F184" s="666">
        <v>57299.696969451</v>
      </c>
      <c r="G184" s="666"/>
      <c r="H184" s="746">
        <v>2080</v>
      </c>
      <c r="I184" s="393">
        <f t="shared" si="3"/>
        <v>1</v>
      </c>
    </row>
    <row r="185" spans="1:9" ht="19.5" customHeight="1">
      <c r="A185" s="474">
        <v>105</v>
      </c>
      <c r="B185" s="517" t="s">
        <v>479</v>
      </c>
      <c r="C185" s="736"/>
      <c r="D185" s="737"/>
      <c r="E185" s="482"/>
      <c r="F185" s="666">
        <v>59187.7354416495</v>
      </c>
      <c r="G185" s="666">
        <v>493</v>
      </c>
      <c r="H185" s="746">
        <v>2080</v>
      </c>
      <c r="I185" s="393">
        <f t="shared" si="3"/>
        <v>1</v>
      </c>
    </row>
    <row r="186" spans="1:9" ht="19.5" customHeight="1">
      <c r="A186" s="474">
        <v>106</v>
      </c>
      <c r="B186" s="517" t="s">
        <v>478</v>
      </c>
      <c r="C186" s="736"/>
      <c r="D186" s="737"/>
      <c r="E186" s="482"/>
      <c r="F186" s="666">
        <v>85866.6983593994</v>
      </c>
      <c r="G186" s="666">
        <v>1109</v>
      </c>
      <c r="H186" s="746">
        <v>2080</v>
      </c>
      <c r="I186" s="393">
        <f t="shared" si="3"/>
        <v>1</v>
      </c>
    </row>
    <row r="187" spans="1:9" ht="19.5" customHeight="1">
      <c r="A187" s="474">
        <v>107</v>
      </c>
      <c r="B187" s="517" t="s">
        <v>479</v>
      </c>
      <c r="C187" s="736"/>
      <c r="D187" s="737"/>
      <c r="E187" s="482"/>
      <c r="F187" s="666">
        <v>116513.5168392927</v>
      </c>
      <c r="G187" s="666">
        <v>2135</v>
      </c>
      <c r="H187" s="746">
        <v>2080</v>
      </c>
      <c r="I187" s="393">
        <f t="shared" si="3"/>
        <v>1</v>
      </c>
    </row>
    <row r="188" spans="1:9" ht="19.5" customHeight="1">
      <c r="A188" s="474">
        <v>108</v>
      </c>
      <c r="B188" s="517" t="s">
        <v>748</v>
      </c>
      <c r="C188" s="736"/>
      <c r="D188" s="737"/>
      <c r="E188" s="482"/>
      <c r="F188" s="666">
        <v>62332.65680671806</v>
      </c>
      <c r="G188" s="666"/>
      <c r="H188" s="746">
        <v>2080</v>
      </c>
      <c r="I188" s="393">
        <f t="shared" si="3"/>
        <v>1</v>
      </c>
    </row>
    <row r="189" spans="1:9" ht="19.5" customHeight="1">
      <c r="A189" s="474">
        <v>109</v>
      </c>
      <c r="B189" s="517" t="s">
        <v>478</v>
      </c>
      <c r="C189" s="736"/>
      <c r="D189" s="737"/>
      <c r="E189" s="482"/>
      <c r="F189" s="666">
        <v>45854.7474037165</v>
      </c>
      <c r="G189" s="666">
        <v>501</v>
      </c>
      <c r="H189" s="746">
        <v>1248</v>
      </c>
      <c r="I189" s="393">
        <f t="shared" si="3"/>
        <v>0.6</v>
      </c>
    </row>
    <row r="190" spans="1:9" ht="19.5" customHeight="1">
      <c r="A190" s="669">
        <v>110</v>
      </c>
      <c r="B190" s="517" t="s">
        <v>478</v>
      </c>
      <c r="C190" s="736"/>
      <c r="D190" s="737"/>
      <c r="E190" s="482"/>
      <c r="F190" s="666">
        <v>14457.9884827944</v>
      </c>
      <c r="G190" s="666">
        <v>14</v>
      </c>
      <c r="H190" s="746">
        <v>416</v>
      </c>
      <c r="I190" s="393">
        <f t="shared" si="3"/>
        <v>0.2</v>
      </c>
    </row>
    <row r="191" spans="1:9" ht="19.5" customHeight="1">
      <c r="A191" s="474">
        <v>111</v>
      </c>
      <c r="B191" s="517" t="s">
        <v>750</v>
      </c>
      <c r="C191" s="736"/>
      <c r="D191" s="737"/>
      <c r="E191" s="482"/>
      <c r="F191" s="666">
        <v>582.942285067023</v>
      </c>
      <c r="G191" s="666"/>
      <c r="H191" s="746">
        <v>15</v>
      </c>
      <c r="I191" s="393">
        <f t="shared" si="3"/>
        <v>0.01</v>
      </c>
    </row>
    <row r="192" spans="1:9" ht="19.5" customHeight="1">
      <c r="A192" s="474">
        <v>112</v>
      </c>
      <c r="B192" s="517" t="s">
        <v>479</v>
      </c>
      <c r="C192" s="736"/>
      <c r="D192" s="737"/>
      <c r="E192" s="482"/>
      <c r="F192" s="666">
        <v>134509.219969033</v>
      </c>
      <c r="G192" s="666">
        <v>816</v>
      </c>
      <c r="H192" s="746">
        <v>2080</v>
      </c>
      <c r="I192" s="393">
        <f t="shared" si="3"/>
        <v>1</v>
      </c>
    </row>
    <row r="193" spans="1:9" ht="19.5" customHeight="1">
      <c r="A193" s="474">
        <v>113</v>
      </c>
      <c r="B193" s="517" t="s">
        <v>479</v>
      </c>
      <c r="C193" s="738"/>
      <c r="D193" s="739"/>
      <c r="E193" s="482"/>
      <c r="F193" s="666">
        <v>109207.238868687</v>
      </c>
      <c r="G193" s="666">
        <v>1241</v>
      </c>
      <c r="H193" s="746">
        <v>2080</v>
      </c>
      <c r="I193" s="393">
        <f t="shared" si="3"/>
        <v>1</v>
      </c>
    </row>
    <row r="194" spans="1:9" ht="19.5" customHeight="1">
      <c r="A194" s="474">
        <v>114</v>
      </c>
      <c r="B194" s="517" t="s">
        <v>479</v>
      </c>
      <c r="C194" s="736"/>
      <c r="D194" s="737"/>
      <c r="E194" s="482"/>
      <c r="F194" s="666">
        <v>123440.59366243647</v>
      </c>
      <c r="G194" s="666">
        <v>2314</v>
      </c>
      <c r="H194" s="746">
        <v>2080</v>
      </c>
      <c r="I194" s="393">
        <f t="shared" si="3"/>
        <v>1</v>
      </c>
    </row>
    <row r="195" spans="1:9" ht="19.5" customHeight="1">
      <c r="A195" s="474">
        <v>115</v>
      </c>
      <c r="B195" s="517" t="s">
        <v>479</v>
      </c>
      <c r="C195" s="736"/>
      <c r="D195" s="737"/>
      <c r="E195" s="482"/>
      <c r="F195" s="666">
        <v>59187.7354416495</v>
      </c>
      <c r="G195" s="666">
        <v>631</v>
      </c>
      <c r="H195" s="746">
        <v>1712</v>
      </c>
      <c r="I195" s="393">
        <f t="shared" si="3"/>
        <v>0.82</v>
      </c>
    </row>
    <row r="196" spans="1:9" ht="19.5" customHeight="1">
      <c r="A196" s="474">
        <v>116</v>
      </c>
      <c r="B196" s="517" t="s">
        <v>478</v>
      </c>
      <c r="C196" s="736"/>
      <c r="D196" s="737"/>
      <c r="E196" s="482"/>
      <c r="F196" s="666">
        <v>49046.6709077297</v>
      </c>
      <c r="G196" s="666">
        <v>530</v>
      </c>
      <c r="H196" s="746">
        <v>1248</v>
      </c>
      <c r="I196" s="393">
        <f t="shared" si="3"/>
        <v>0.6</v>
      </c>
    </row>
    <row r="197" spans="1:9" ht="19.5" customHeight="1">
      <c r="A197" s="474">
        <v>117</v>
      </c>
      <c r="B197" s="517" t="s">
        <v>479</v>
      </c>
      <c r="C197" s="736"/>
      <c r="D197" s="737"/>
      <c r="E197" s="482"/>
      <c r="F197" s="666">
        <v>39269.1361688031</v>
      </c>
      <c r="G197" s="666">
        <v>932</v>
      </c>
      <c r="H197" s="746">
        <v>714</v>
      </c>
      <c r="I197" s="393">
        <f t="shared" si="3"/>
        <v>0.34</v>
      </c>
    </row>
    <row r="198" spans="1:9" ht="19.5" customHeight="1">
      <c r="A198" s="474">
        <v>118</v>
      </c>
      <c r="B198" s="517" t="s">
        <v>478</v>
      </c>
      <c r="C198" s="736"/>
      <c r="D198" s="737"/>
      <c r="E198" s="482"/>
      <c r="F198" s="666">
        <v>55603.1228150589</v>
      </c>
      <c r="G198" s="666">
        <v>380</v>
      </c>
      <c r="H198" s="746">
        <v>1248</v>
      </c>
      <c r="I198" s="393">
        <f t="shared" si="3"/>
        <v>0.6</v>
      </c>
    </row>
    <row r="199" spans="1:9" ht="19.5" customHeight="1">
      <c r="A199" s="474">
        <v>119</v>
      </c>
      <c r="B199" s="517" t="s">
        <v>478</v>
      </c>
      <c r="C199" s="736"/>
      <c r="D199" s="737"/>
      <c r="E199" s="482"/>
      <c r="F199" s="666">
        <v>104404.824837753</v>
      </c>
      <c r="G199" s="666">
        <v>25</v>
      </c>
      <c r="H199" s="746">
        <v>2080</v>
      </c>
      <c r="I199" s="393">
        <f t="shared" si="3"/>
        <v>1</v>
      </c>
    </row>
    <row r="200" spans="1:9" ht="19.5" customHeight="1">
      <c r="A200" s="474">
        <v>120</v>
      </c>
      <c r="B200" s="517" t="s">
        <v>479</v>
      </c>
      <c r="C200" s="736"/>
      <c r="D200" s="737"/>
      <c r="E200" s="482"/>
      <c r="F200" s="666">
        <v>125578.262440973</v>
      </c>
      <c r="G200" s="666">
        <v>1853</v>
      </c>
      <c r="H200" s="746">
        <v>2080</v>
      </c>
      <c r="I200" s="393">
        <f t="shared" si="3"/>
        <v>1</v>
      </c>
    </row>
    <row r="201" spans="1:9" ht="19.5" customHeight="1">
      <c r="A201" s="474">
        <v>121</v>
      </c>
      <c r="B201" s="517" t="s">
        <v>479</v>
      </c>
      <c r="C201" s="736"/>
      <c r="D201" s="737"/>
      <c r="E201" s="482"/>
      <c r="F201" s="666">
        <v>90542.8469041161</v>
      </c>
      <c r="G201" s="666">
        <v>1999</v>
      </c>
      <c r="H201" s="746">
        <v>2080</v>
      </c>
      <c r="I201" s="393">
        <f t="shared" si="3"/>
        <v>1</v>
      </c>
    </row>
    <row r="202" spans="1:10" ht="19.5" customHeight="1">
      <c r="A202" s="474">
        <v>122</v>
      </c>
      <c r="B202" s="517" t="s">
        <v>746</v>
      </c>
      <c r="C202" s="744"/>
      <c r="D202" s="745"/>
      <c r="E202" s="670"/>
      <c r="F202" s="666">
        <v>8030.80450553442</v>
      </c>
      <c r="G202" s="666"/>
      <c r="H202" s="746">
        <v>173.33333333333334</v>
      </c>
      <c r="I202" s="671">
        <f t="shared" si="3"/>
        <v>0.08</v>
      </c>
      <c r="J202" s="672"/>
    </row>
    <row r="203" spans="1:9" ht="19.5" customHeight="1">
      <c r="A203" s="474">
        <v>123</v>
      </c>
      <c r="B203" s="517" t="s">
        <v>478</v>
      </c>
      <c r="C203" s="736"/>
      <c r="D203" s="737"/>
      <c r="E203" s="482"/>
      <c r="F203" s="666">
        <v>77007.575572732</v>
      </c>
      <c r="G203" s="666">
        <v>249</v>
      </c>
      <c r="H203" s="746">
        <v>1664</v>
      </c>
      <c r="I203" s="393">
        <f t="shared" si="3"/>
        <v>0.8</v>
      </c>
    </row>
    <row r="204" spans="1:9" ht="19.5" customHeight="1">
      <c r="A204" s="474">
        <v>124</v>
      </c>
      <c r="B204" s="517" t="s">
        <v>750</v>
      </c>
      <c r="C204" s="736"/>
      <c r="D204" s="737"/>
      <c r="E204" s="482"/>
      <c r="F204" s="666">
        <v>108387.25618591</v>
      </c>
      <c r="G204" s="666">
        <v>0</v>
      </c>
      <c r="H204" s="746">
        <v>1664</v>
      </c>
      <c r="I204" s="393">
        <f t="shared" si="3"/>
        <v>0.8</v>
      </c>
    </row>
    <row r="205" spans="1:9" ht="19.5" customHeight="1">
      <c r="A205" s="474">
        <v>125</v>
      </c>
      <c r="B205" s="517" t="s">
        <v>478</v>
      </c>
      <c r="C205" s="736"/>
      <c r="D205" s="737"/>
      <c r="E205" s="482"/>
      <c r="F205" s="666">
        <v>97801.81978404711</v>
      </c>
      <c r="G205" s="666">
        <v>438</v>
      </c>
      <c r="H205" s="746">
        <v>2080</v>
      </c>
      <c r="I205" s="393">
        <f t="shared" si="3"/>
        <v>1</v>
      </c>
    </row>
    <row r="206" spans="1:9" ht="19.5" customHeight="1">
      <c r="A206" s="474">
        <v>126</v>
      </c>
      <c r="B206" s="517" t="s">
        <v>478</v>
      </c>
      <c r="C206" s="736"/>
      <c r="D206" s="737"/>
      <c r="E206" s="482"/>
      <c r="F206" s="666">
        <v>64822.6406417819</v>
      </c>
      <c r="G206" s="666">
        <v>459</v>
      </c>
      <c r="H206" s="746">
        <v>2080</v>
      </c>
      <c r="I206" s="393">
        <f t="shared" si="3"/>
        <v>1</v>
      </c>
    </row>
    <row r="207" spans="1:9" ht="19.5" customHeight="1">
      <c r="A207" s="474">
        <v>127</v>
      </c>
      <c r="B207" s="517" t="s">
        <v>478</v>
      </c>
      <c r="C207" s="736"/>
      <c r="D207" s="737"/>
      <c r="E207" s="482"/>
      <c r="F207" s="666">
        <v>64871.4227210529</v>
      </c>
      <c r="G207" s="666">
        <v>434</v>
      </c>
      <c r="H207" s="746">
        <v>2080</v>
      </c>
      <c r="I207" s="393">
        <f t="shared" si="3"/>
        <v>1</v>
      </c>
    </row>
    <row r="208" spans="1:9" ht="19.5" customHeight="1">
      <c r="A208" s="474">
        <v>128</v>
      </c>
      <c r="B208" s="517" t="s">
        <v>479</v>
      </c>
      <c r="C208" s="736"/>
      <c r="D208" s="737"/>
      <c r="E208" s="482"/>
      <c r="F208" s="666">
        <v>101181.095784455</v>
      </c>
      <c r="G208" s="666">
        <v>892</v>
      </c>
      <c r="H208" s="746">
        <v>2080</v>
      </c>
      <c r="I208" s="393">
        <f t="shared" si="3"/>
        <v>1</v>
      </c>
    </row>
    <row r="209" spans="1:9" ht="19.5" customHeight="1">
      <c r="A209" s="474">
        <v>129</v>
      </c>
      <c r="B209" s="517" t="s">
        <v>478</v>
      </c>
      <c r="C209" s="736"/>
      <c r="D209" s="737"/>
      <c r="E209" s="482"/>
      <c r="F209" s="666">
        <v>8259.80446038476</v>
      </c>
      <c r="G209" s="666">
        <v>11</v>
      </c>
      <c r="H209" s="746">
        <v>173.33333333333334</v>
      </c>
      <c r="I209" s="393">
        <f aca="true" t="shared" si="4" ref="I209:I272">ROUND(H209/2080,2)</f>
        <v>0.08</v>
      </c>
    </row>
    <row r="210" spans="1:9" ht="19.5" customHeight="1">
      <c r="A210" s="474">
        <v>130</v>
      </c>
      <c r="B210" s="517" t="s">
        <v>478</v>
      </c>
      <c r="C210" s="736"/>
      <c r="D210" s="737"/>
      <c r="E210" s="482"/>
      <c r="F210" s="666">
        <v>28619.9054684068</v>
      </c>
      <c r="G210" s="666">
        <v>134</v>
      </c>
      <c r="H210" s="746">
        <v>760</v>
      </c>
      <c r="I210" s="393">
        <f t="shared" si="4"/>
        <v>0.37</v>
      </c>
    </row>
    <row r="211" spans="1:9" ht="19.5" customHeight="1">
      <c r="A211" s="474">
        <v>131</v>
      </c>
      <c r="B211" s="517" t="s">
        <v>748</v>
      </c>
      <c r="C211" s="736"/>
      <c r="D211" s="737"/>
      <c r="E211" s="482"/>
      <c r="F211" s="666">
        <v>45190.9834012509</v>
      </c>
      <c r="G211" s="666">
        <v>242</v>
      </c>
      <c r="H211" s="746">
        <v>2080</v>
      </c>
      <c r="I211" s="393">
        <f t="shared" si="4"/>
        <v>1</v>
      </c>
    </row>
    <row r="212" spans="1:9" ht="19.5" customHeight="1">
      <c r="A212" s="474">
        <v>132</v>
      </c>
      <c r="B212" s="517" t="s">
        <v>478</v>
      </c>
      <c r="C212" s="736"/>
      <c r="D212" s="737"/>
      <c r="E212" s="482"/>
      <c r="F212" s="666">
        <v>106361.53276308</v>
      </c>
      <c r="G212" s="666">
        <v>40</v>
      </c>
      <c r="H212" s="746">
        <v>2080</v>
      </c>
      <c r="I212" s="393">
        <f t="shared" si="4"/>
        <v>1</v>
      </c>
    </row>
    <row r="213" spans="1:9" ht="19.5" customHeight="1">
      <c r="A213" s="474">
        <v>133</v>
      </c>
      <c r="B213" s="517" t="s">
        <v>478</v>
      </c>
      <c r="C213" s="736"/>
      <c r="D213" s="737"/>
      <c r="E213" s="482"/>
      <c r="F213" s="666">
        <v>40380.5798163374</v>
      </c>
      <c r="G213" s="666">
        <v>322</v>
      </c>
      <c r="H213" s="746">
        <v>1248</v>
      </c>
      <c r="I213" s="393">
        <f t="shared" si="4"/>
        <v>0.6</v>
      </c>
    </row>
    <row r="214" spans="1:9" ht="19.5" customHeight="1">
      <c r="A214" s="474">
        <v>134</v>
      </c>
      <c r="B214" s="517" t="s">
        <v>747</v>
      </c>
      <c r="C214" s="736"/>
      <c r="D214" s="737"/>
      <c r="E214" s="482"/>
      <c r="F214" s="666">
        <v>4983.03901754338</v>
      </c>
      <c r="G214" s="666"/>
      <c r="H214" s="746">
        <v>138.66666666666666</v>
      </c>
      <c r="I214" s="393">
        <f t="shared" si="4"/>
        <v>0.07</v>
      </c>
    </row>
    <row r="215" spans="1:9" ht="19.5" customHeight="1">
      <c r="A215" s="474">
        <v>135</v>
      </c>
      <c r="B215" s="517" t="s">
        <v>452</v>
      </c>
      <c r="C215" s="736"/>
      <c r="D215" s="737"/>
      <c r="E215" s="482"/>
      <c r="F215" s="666">
        <v>41996.2406533491</v>
      </c>
      <c r="G215" s="666">
        <v>194</v>
      </c>
      <c r="H215" s="746">
        <v>1765</v>
      </c>
      <c r="I215" s="393">
        <f t="shared" si="4"/>
        <v>0.85</v>
      </c>
    </row>
    <row r="216" spans="1:9" ht="19.5" customHeight="1">
      <c r="A216" s="474">
        <v>136</v>
      </c>
      <c r="B216" s="517" t="s">
        <v>754</v>
      </c>
      <c r="C216" s="736"/>
      <c r="D216" s="737"/>
      <c r="E216" s="482"/>
      <c r="F216" s="666">
        <v>11373.817090870114</v>
      </c>
      <c r="G216" s="666"/>
      <c r="H216" s="746">
        <v>449</v>
      </c>
      <c r="I216" s="393">
        <f t="shared" si="4"/>
        <v>0.22</v>
      </c>
    </row>
    <row r="217" spans="1:9" ht="19.5" customHeight="1">
      <c r="A217" s="474">
        <v>137</v>
      </c>
      <c r="B217" s="517" t="s">
        <v>479</v>
      </c>
      <c r="C217" s="736"/>
      <c r="D217" s="737"/>
      <c r="E217" s="482"/>
      <c r="F217" s="666">
        <v>6206.43819856006</v>
      </c>
      <c r="G217" s="666">
        <v>82</v>
      </c>
      <c r="H217" s="746">
        <v>173.33333333333334</v>
      </c>
      <c r="I217" s="393">
        <f t="shared" si="4"/>
        <v>0.08</v>
      </c>
    </row>
    <row r="218" spans="1:9" ht="19.5" customHeight="1">
      <c r="A218" s="474">
        <v>138</v>
      </c>
      <c r="B218" s="517" t="s">
        <v>478</v>
      </c>
      <c r="C218" s="736"/>
      <c r="D218" s="737"/>
      <c r="E218" s="482"/>
      <c r="F218" s="666">
        <v>79480.9175739764</v>
      </c>
      <c r="G218" s="666">
        <v>978</v>
      </c>
      <c r="H218" s="746">
        <v>2080</v>
      </c>
      <c r="I218" s="393">
        <f t="shared" si="4"/>
        <v>1</v>
      </c>
    </row>
    <row r="219" spans="1:9" ht="19.5" customHeight="1">
      <c r="A219" s="474">
        <v>139</v>
      </c>
      <c r="B219" s="517" t="s">
        <v>479</v>
      </c>
      <c r="C219" s="736"/>
      <c r="D219" s="737"/>
      <c r="E219" s="482"/>
      <c r="F219" s="666">
        <v>82130.6811404375</v>
      </c>
      <c r="G219" s="666"/>
      <c r="H219" s="746">
        <v>1289</v>
      </c>
      <c r="I219" s="393">
        <f t="shared" si="4"/>
        <v>0.62</v>
      </c>
    </row>
    <row r="220" spans="1:9" ht="19.5" customHeight="1">
      <c r="A220" s="474">
        <v>140</v>
      </c>
      <c r="B220" s="517" t="s">
        <v>479</v>
      </c>
      <c r="C220" s="736"/>
      <c r="D220" s="737"/>
      <c r="E220" s="482"/>
      <c r="F220" s="666">
        <v>59187.7354416495</v>
      </c>
      <c r="G220" s="666">
        <v>442</v>
      </c>
      <c r="H220" s="746">
        <v>1712</v>
      </c>
      <c r="I220" s="393">
        <f t="shared" si="4"/>
        <v>0.82</v>
      </c>
    </row>
    <row r="221" spans="1:9" ht="19.5" customHeight="1">
      <c r="A221" s="474">
        <v>141</v>
      </c>
      <c r="B221" s="517" t="s">
        <v>478</v>
      </c>
      <c r="C221" s="736"/>
      <c r="D221" s="737"/>
      <c r="E221" s="482"/>
      <c r="F221" s="666">
        <v>10313.6185443434</v>
      </c>
      <c r="G221" s="666">
        <v>2</v>
      </c>
      <c r="H221" s="746">
        <v>275</v>
      </c>
      <c r="I221" s="393">
        <f t="shared" si="4"/>
        <v>0.13</v>
      </c>
    </row>
    <row r="222" spans="1:10" ht="19.5" customHeight="1">
      <c r="A222" s="474">
        <v>142</v>
      </c>
      <c r="B222" s="517" t="s">
        <v>479</v>
      </c>
      <c r="C222" s="744"/>
      <c r="D222" s="745"/>
      <c r="E222" s="670"/>
      <c r="F222" s="666">
        <v>59187.7354416495</v>
      </c>
      <c r="G222" s="666">
        <v>493</v>
      </c>
      <c r="H222" s="746">
        <v>1733.3333333333335</v>
      </c>
      <c r="I222" s="671">
        <f t="shared" si="4"/>
        <v>0.83</v>
      </c>
      <c r="J222" s="672"/>
    </row>
    <row r="223" spans="1:9" ht="19.5" customHeight="1">
      <c r="A223" s="474">
        <v>143</v>
      </c>
      <c r="B223" s="517" t="s">
        <v>479</v>
      </c>
      <c r="C223" s="736"/>
      <c r="D223" s="737"/>
      <c r="E223" s="482"/>
      <c r="F223" s="666">
        <v>18173.3753502683</v>
      </c>
      <c r="G223" s="666">
        <v>137</v>
      </c>
      <c r="H223" s="746">
        <v>390</v>
      </c>
      <c r="I223" s="393">
        <f t="shared" si="4"/>
        <v>0.19</v>
      </c>
    </row>
    <row r="224" spans="1:9" ht="19.5" customHeight="1">
      <c r="A224" s="474">
        <v>144</v>
      </c>
      <c r="B224" s="517" t="s">
        <v>479</v>
      </c>
      <c r="C224" s="738"/>
      <c r="D224" s="739"/>
      <c r="E224" s="482"/>
      <c r="F224" s="666">
        <v>100849.514027608</v>
      </c>
      <c r="G224" s="666">
        <v>2204</v>
      </c>
      <c r="H224" s="746">
        <v>2080</v>
      </c>
      <c r="I224" s="393">
        <f t="shared" si="4"/>
        <v>1</v>
      </c>
    </row>
    <row r="225" spans="1:9" ht="19.5" customHeight="1">
      <c r="A225" s="474">
        <v>145</v>
      </c>
      <c r="B225" s="517" t="s">
        <v>478</v>
      </c>
      <c r="C225" s="736"/>
      <c r="D225" s="737"/>
      <c r="E225" s="482"/>
      <c r="F225" s="666">
        <v>44284.9578021053</v>
      </c>
      <c r="G225" s="666">
        <v>378</v>
      </c>
      <c r="H225" s="746">
        <v>1040</v>
      </c>
      <c r="I225" s="393">
        <f t="shared" si="4"/>
        <v>0.5</v>
      </c>
    </row>
    <row r="226" spans="1:9" ht="19.5" customHeight="1">
      <c r="A226" s="474">
        <v>146</v>
      </c>
      <c r="B226" s="517" t="s">
        <v>750</v>
      </c>
      <c r="C226" s="736"/>
      <c r="D226" s="737"/>
      <c r="E226" s="482"/>
      <c r="F226" s="666">
        <v>1735.31076897701</v>
      </c>
      <c r="G226" s="666"/>
      <c r="H226" s="746">
        <v>28</v>
      </c>
      <c r="I226" s="393">
        <f t="shared" si="4"/>
        <v>0.01</v>
      </c>
    </row>
    <row r="227" spans="1:9" ht="19.5" customHeight="1">
      <c r="A227" s="474">
        <v>147</v>
      </c>
      <c r="B227" s="517" t="s">
        <v>749</v>
      </c>
      <c r="C227" s="736"/>
      <c r="D227" s="737"/>
      <c r="E227" s="482"/>
      <c r="F227" s="666">
        <v>12887.5067924308</v>
      </c>
      <c r="G227" s="666"/>
      <c r="H227" s="746">
        <v>416</v>
      </c>
      <c r="I227" s="393">
        <f t="shared" si="4"/>
        <v>0.2</v>
      </c>
    </row>
    <row r="228" spans="1:9" ht="19.5" customHeight="1">
      <c r="A228" s="474">
        <v>148</v>
      </c>
      <c r="B228" s="517" t="s">
        <v>755</v>
      </c>
      <c r="C228" s="736"/>
      <c r="D228" s="737"/>
      <c r="E228" s="482"/>
      <c r="F228" s="666">
        <v>37411.539423936</v>
      </c>
      <c r="G228" s="666">
        <v>224</v>
      </c>
      <c r="H228" s="746">
        <v>1230</v>
      </c>
      <c r="I228" s="393">
        <f t="shared" si="4"/>
        <v>0.59</v>
      </c>
    </row>
    <row r="229" spans="1:9" ht="19.5" customHeight="1">
      <c r="A229" s="474">
        <v>149</v>
      </c>
      <c r="B229" s="517" t="s">
        <v>479</v>
      </c>
      <c r="C229" s="736"/>
      <c r="D229" s="737"/>
      <c r="E229" s="482"/>
      <c r="F229" s="666">
        <v>98280.4093341328</v>
      </c>
      <c r="G229" s="666">
        <v>462</v>
      </c>
      <c r="H229" s="746">
        <v>1664</v>
      </c>
      <c r="I229" s="393">
        <f t="shared" si="4"/>
        <v>0.8</v>
      </c>
    </row>
    <row r="230" spans="1:9" ht="19.5" customHeight="1">
      <c r="A230" s="474">
        <v>150</v>
      </c>
      <c r="B230" s="517" t="s">
        <v>479</v>
      </c>
      <c r="C230" s="736"/>
      <c r="D230" s="737"/>
      <c r="E230" s="482"/>
      <c r="F230" s="666">
        <v>112259.828622393</v>
      </c>
      <c r="G230" s="666">
        <v>3051</v>
      </c>
      <c r="H230" s="746">
        <v>2080</v>
      </c>
      <c r="I230" s="393">
        <f t="shared" si="4"/>
        <v>1</v>
      </c>
    </row>
    <row r="231" spans="1:9" ht="19.5" customHeight="1">
      <c r="A231" s="474">
        <v>151</v>
      </c>
      <c r="B231" s="517" t="s">
        <v>479</v>
      </c>
      <c r="C231" s="738"/>
      <c r="D231" s="739"/>
      <c r="E231" s="482"/>
      <c r="F231" s="666">
        <v>105770.8388218336</v>
      </c>
      <c r="G231" s="666">
        <v>2069</v>
      </c>
      <c r="H231" s="746">
        <v>2080</v>
      </c>
      <c r="I231" s="393">
        <f t="shared" si="4"/>
        <v>1</v>
      </c>
    </row>
    <row r="232" spans="1:9" ht="19.5" customHeight="1">
      <c r="A232" s="474">
        <v>152</v>
      </c>
      <c r="B232" s="517" t="s">
        <v>452</v>
      </c>
      <c r="C232" s="736"/>
      <c r="D232" s="737"/>
      <c r="E232" s="482"/>
      <c r="F232" s="666">
        <v>77788.2109743773</v>
      </c>
      <c r="G232" s="666">
        <v>258</v>
      </c>
      <c r="H232" s="746">
        <v>2080</v>
      </c>
      <c r="I232" s="393">
        <f t="shared" si="4"/>
        <v>1</v>
      </c>
    </row>
    <row r="233" spans="1:9" ht="19.5" customHeight="1">
      <c r="A233" s="474">
        <v>153</v>
      </c>
      <c r="B233" s="517" t="s">
        <v>479</v>
      </c>
      <c r="C233" s="736"/>
      <c r="D233" s="737"/>
      <c r="E233" s="482"/>
      <c r="F233" s="666">
        <v>93451.4414862127</v>
      </c>
      <c r="G233" s="666">
        <v>1607</v>
      </c>
      <c r="H233" s="746">
        <v>2080</v>
      </c>
      <c r="I233" s="393">
        <f t="shared" si="4"/>
        <v>1</v>
      </c>
    </row>
    <row r="234" spans="1:9" ht="19.5" customHeight="1">
      <c r="A234" s="474">
        <v>154</v>
      </c>
      <c r="B234" s="517" t="s">
        <v>478</v>
      </c>
      <c r="C234" s="736"/>
      <c r="D234" s="737"/>
      <c r="E234" s="483"/>
      <c r="F234" s="666">
        <v>84301.1223569575</v>
      </c>
      <c r="G234" s="666">
        <v>1233</v>
      </c>
      <c r="H234" s="746">
        <v>2080</v>
      </c>
      <c r="I234" s="393">
        <f t="shared" si="4"/>
        <v>1</v>
      </c>
    </row>
    <row r="235" spans="1:9" ht="19.5" customHeight="1">
      <c r="A235" s="474">
        <v>155</v>
      </c>
      <c r="B235" s="517" t="s">
        <v>478</v>
      </c>
      <c r="C235" s="736"/>
      <c r="D235" s="737"/>
      <c r="E235" s="483"/>
      <c r="F235" s="666">
        <v>72989.002942812</v>
      </c>
      <c r="G235" s="666">
        <v>236</v>
      </c>
      <c r="H235" s="746">
        <v>2080</v>
      </c>
      <c r="I235" s="393">
        <f t="shared" si="4"/>
        <v>1</v>
      </c>
    </row>
    <row r="236" spans="1:9" ht="19.5" customHeight="1">
      <c r="A236" s="474">
        <v>156</v>
      </c>
      <c r="B236" s="517" t="s">
        <v>478</v>
      </c>
      <c r="C236" s="736"/>
      <c r="D236" s="737"/>
      <c r="E236" s="483"/>
      <c r="F236" s="666">
        <v>70438.3302012585</v>
      </c>
      <c r="G236" s="666">
        <v>391</v>
      </c>
      <c r="H236" s="746">
        <v>2080</v>
      </c>
      <c r="I236" s="393">
        <f t="shared" si="4"/>
        <v>1</v>
      </c>
    </row>
    <row r="237" spans="1:9" ht="19.5" customHeight="1">
      <c r="A237" s="474">
        <v>157</v>
      </c>
      <c r="B237" s="517" t="s">
        <v>478</v>
      </c>
      <c r="C237" s="736"/>
      <c r="D237" s="737"/>
      <c r="E237" s="483"/>
      <c r="F237" s="666">
        <v>79122.6700446085</v>
      </c>
      <c r="G237" s="666">
        <v>1012</v>
      </c>
      <c r="H237" s="746">
        <v>2080</v>
      </c>
      <c r="I237" s="393">
        <f t="shared" si="4"/>
        <v>1</v>
      </c>
    </row>
    <row r="238" spans="1:9" ht="19.5" customHeight="1">
      <c r="A238" s="474">
        <v>158</v>
      </c>
      <c r="B238" s="517" t="s">
        <v>478</v>
      </c>
      <c r="C238" s="736"/>
      <c r="D238" s="737"/>
      <c r="E238" s="483"/>
      <c r="F238" s="666">
        <v>93110.7404422743</v>
      </c>
      <c r="G238" s="666">
        <v>306</v>
      </c>
      <c r="H238" s="746">
        <v>2080</v>
      </c>
      <c r="I238" s="393">
        <f t="shared" si="4"/>
        <v>1</v>
      </c>
    </row>
    <row r="239" spans="1:9" ht="19.5" customHeight="1">
      <c r="A239" s="474">
        <v>159</v>
      </c>
      <c r="B239" s="517" t="s">
        <v>479</v>
      </c>
      <c r="C239" s="736"/>
      <c r="D239" s="737"/>
      <c r="E239" s="483"/>
      <c r="F239" s="666">
        <v>122557.136001134</v>
      </c>
      <c r="G239" s="666">
        <v>2678</v>
      </c>
      <c r="H239" s="746">
        <v>2080</v>
      </c>
      <c r="I239" s="393">
        <f t="shared" si="4"/>
        <v>1</v>
      </c>
    </row>
    <row r="240" spans="1:9" ht="19.5" customHeight="1">
      <c r="A240" s="474">
        <v>160</v>
      </c>
      <c r="B240" s="517" t="s">
        <v>478</v>
      </c>
      <c r="C240" s="736"/>
      <c r="D240" s="737"/>
      <c r="E240" s="483"/>
      <c r="F240" s="666">
        <v>52786.097681575</v>
      </c>
      <c r="G240" s="666">
        <v>648</v>
      </c>
      <c r="H240" s="746">
        <v>1248</v>
      </c>
      <c r="I240" s="393">
        <f t="shared" si="4"/>
        <v>0.6</v>
      </c>
    </row>
    <row r="241" spans="1:9" ht="19.5" customHeight="1">
      <c r="A241" s="474">
        <v>161</v>
      </c>
      <c r="B241" s="517" t="s">
        <v>479</v>
      </c>
      <c r="C241" s="736"/>
      <c r="D241" s="737"/>
      <c r="E241" s="483"/>
      <c r="F241" s="666">
        <v>166561.5294273741</v>
      </c>
      <c r="G241" s="666">
        <v>988</v>
      </c>
      <c r="H241" s="746">
        <v>2080</v>
      </c>
      <c r="I241" s="393">
        <f t="shared" si="4"/>
        <v>1</v>
      </c>
    </row>
    <row r="242" spans="1:9" ht="19.5" customHeight="1">
      <c r="A242" s="474">
        <v>162</v>
      </c>
      <c r="B242" s="517" t="s">
        <v>479</v>
      </c>
      <c r="C242" s="736"/>
      <c r="D242" s="737"/>
      <c r="E242" s="483"/>
      <c r="F242" s="666">
        <v>102710.58139401277</v>
      </c>
      <c r="G242" s="666">
        <v>1510</v>
      </c>
      <c r="H242" s="746">
        <v>2080</v>
      </c>
      <c r="I242" s="393">
        <f t="shared" si="4"/>
        <v>1</v>
      </c>
    </row>
    <row r="243" spans="1:9" ht="19.5" customHeight="1">
      <c r="A243" s="474">
        <v>163</v>
      </c>
      <c r="B243" s="517" t="s">
        <v>479</v>
      </c>
      <c r="C243" s="736"/>
      <c r="D243" s="737"/>
      <c r="E243" s="483"/>
      <c r="F243" s="666">
        <v>26252.3003796486</v>
      </c>
      <c r="G243" s="666">
        <v>298</v>
      </c>
      <c r="H243" s="746">
        <v>520</v>
      </c>
      <c r="I243" s="393">
        <f t="shared" si="4"/>
        <v>0.25</v>
      </c>
    </row>
    <row r="244" spans="1:9" ht="19.5" customHeight="1">
      <c r="A244" s="474">
        <v>164</v>
      </c>
      <c r="B244" s="517" t="s">
        <v>478</v>
      </c>
      <c r="C244" s="736"/>
      <c r="D244" s="737"/>
      <c r="E244" s="483"/>
      <c r="F244" s="666">
        <v>28006.1855894079</v>
      </c>
      <c r="G244" s="666">
        <v>254</v>
      </c>
      <c r="H244" s="746">
        <v>866.6666666666667</v>
      </c>
      <c r="I244" s="393">
        <f t="shared" si="4"/>
        <v>0.42</v>
      </c>
    </row>
    <row r="245" spans="1:9" ht="19.5" customHeight="1">
      <c r="A245" s="474">
        <v>165</v>
      </c>
      <c r="B245" s="517" t="s">
        <v>479</v>
      </c>
      <c r="C245" s="736"/>
      <c r="D245" s="737"/>
      <c r="E245" s="483"/>
      <c r="F245" s="666">
        <v>83388.6338701972</v>
      </c>
      <c r="G245" s="666">
        <v>784</v>
      </c>
      <c r="H245" s="746">
        <v>2080</v>
      </c>
      <c r="I245" s="393">
        <f t="shared" si="4"/>
        <v>1</v>
      </c>
    </row>
    <row r="246" spans="1:9" ht="19.5" customHeight="1">
      <c r="A246" s="474">
        <v>166</v>
      </c>
      <c r="B246" s="517" t="s">
        <v>746</v>
      </c>
      <c r="C246" s="736"/>
      <c r="D246" s="737"/>
      <c r="E246" s="483"/>
      <c r="F246" s="666">
        <v>21970.874598201</v>
      </c>
      <c r="G246" s="666"/>
      <c r="H246" s="746">
        <v>556</v>
      </c>
      <c r="I246" s="393">
        <f t="shared" si="4"/>
        <v>0.27</v>
      </c>
    </row>
    <row r="247" spans="1:9" ht="19.5" customHeight="1">
      <c r="A247" s="474">
        <v>167</v>
      </c>
      <c r="B247" s="517" t="s">
        <v>479</v>
      </c>
      <c r="C247" s="736"/>
      <c r="D247" s="737"/>
      <c r="E247" s="483"/>
      <c r="F247" s="666">
        <v>86016.9223297813</v>
      </c>
      <c r="G247" s="666">
        <v>893</v>
      </c>
      <c r="H247" s="746">
        <v>1820</v>
      </c>
      <c r="I247" s="393">
        <f t="shared" si="4"/>
        <v>0.88</v>
      </c>
    </row>
    <row r="248" spans="1:9" ht="19.5" customHeight="1">
      <c r="A248" s="474">
        <v>168</v>
      </c>
      <c r="B248" s="517" t="s">
        <v>479</v>
      </c>
      <c r="C248" s="736"/>
      <c r="D248" s="737"/>
      <c r="E248" s="483"/>
      <c r="F248" s="666">
        <v>122271.8796706377</v>
      </c>
      <c r="G248" s="666">
        <v>2742</v>
      </c>
      <c r="H248" s="746">
        <v>2080</v>
      </c>
      <c r="I248" s="393">
        <f t="shared" si="4"/>
        <v>1</v>
      </c>
    </row>
    <row r="249" spans="1:9" ht="19.5" customHeight="1">
      <c r="A249" s="474">
        <v>169</v>
      </c>
      <c r="B249" s="517" t="s">
        <v>750</v>
      </c>
      <c r="C249" s="736"/>
      <c r="D249" s="737"/>
      <c r="E249" s="483"/>
      <c r="F249" s="666">
        <v>106235.053543572</v>
      </c>
      <c r="G249" s="666"/>
      <c r="H249" s="746">
        <v>1664</v>
      </c>
      <c r="I249" s="393">
        <f t="shared" si="4"/>
        <v>0.8</v>
      </c>
    </row>
    <row r="250" spans="1:9" ht="19.5" customHeight="1">
      <c r="A250" s="474">
        <v>170</v>
      </c>
      <c r="B250" s="517" t="s">
        <v>478</v>
      </c>
      <c r="C250" s="736"/>
      <c r="D250" s="737"/>
      <c r="E250" s="483"/>
      <c r="F250" s="666">
        <v>3293.74197282763</v>
      </c>
      <c r="G250" s="666"/>
      <c r="H250" s="746">
        <v>94</v>
      </c>
      <c r="I250" s="393">
        <f t="shared" si="4"/>
        <v>0.05</v>
      </c>
    </row>
    <row r="251" spans="1:9" ht="19.5" customHeight="1">
      <c r="A251" s="474">
        <v>171</v>
      </c>
      <c r="B251" s="517" t="s">
        <v>479</v>
      </c>
      <c r="C251" s="736"/>
      <c r="D251" s="737"/>
      <c r="E251" s="483"/>
      <c r="F251" s="666">
        <v>59187.7354416495</v>
      </c>
      <c r="G251" s="666">
        <v>551</v>
      </c>
      <c r="H251" s="746">
        <v>1760</v>
      </c>
      <c r="I251" s="393">
        <f t="shared" si="4"/>
        <v>0.85</v>
      </c>
    </row>
    <row r="252" spans="1:9" ht="19.5" customHeight="1">
      <c r="A252" s="474">
        <v>172</v>
      </c>
      <c r="B252" s="517" t="s">
        <v>479</v>
      </c>
      <c r="C252" s="736"/>
      <c r="D252" s="737"/>
      <c r="E252" s="483"/>
      <c r="F252" s="666">
        <v>134366.222219449</v>
      </c>
      <c r="G252" s="666">
        <v>3911</v>
      </c>
      <c r="H252" s="746">
        <v>2080</v>
      </c>
      <c r="I252" s="393">
        <f t="shared" si="4"/>
        <v>1</v>
      </c>
    </row>
    <row r="253" spans="1:9" ht="19.5" customHeight="1">
      <c r="A253" s="474">
        <v>173</v>
      </c>
      <c r="B253" s="517" t="s">
        <v>748</v>
      </c>
      <c r="C253" s="736"/>
      <c r="D253" s="737"/>
      <c r="E253" s="483"/>
      <c r="F253" s="666">
        <v>17419.2937656098</v>
      </c>
      <c r="G253" s="666"/>
      <c r="H253" s="746">
        <v>520</v>
      </c>
      <c r="I253" s="393">
        <f t="shared" si="4"/>
        <v>0.25</v>
      </c>
    </row>
    <row r="254" spans="1:9" ht="19.5" customHeight="1">
      <c r="A254" s="474">
        <v>174</v>
      </c>
      <c r="B254" s="517" t="s">
        <v>478</v>
      </c>
      <c r="C254" s="736"/>
      <c r="D254" s="737"/>
      <c r="E254" s="483"/>
      <c r="F254" s="666">
        <v>36581.3687876126</v>
      </c>
      <c r="G254" s="666">
        <v>148</v>
      </c>
      <c r="H254" s="746">
        <v>1248</v>
      </c>
      <c r="I254" s="393">
        <f t="shared" si="4"/>
        <v>0.6</v>
      </c>
    </row>
    <row r="255" spans="1:9" ht="19.5" customHeight="1">
      <c r="A255" s="474">
        <v>175</v>
      </c>
      <c r="B255" s="517" t="s">
        <v>748</v>
      </c>
      <c r="C255" s="736"/>
      <c r="D255" s="737"/>
      <c r="E255" s="483"/>
      <c r="F255" s="666">
        <v>55740.24798802323</v>
      </c>
      <c r="G255" s="666"/>
      <c r="H255" s="746">
        <v>2080</v>
      </c>
      <c r="I255" s="393">
        <f t="shared" si="4"/>
        <v>1</v>
      </c>
    </row>
    <row r="256" spans="1:9" ht="19.5" customHeight="1">
      <c r="A256" s="474">
        <v>176</v>
      </c>
      <c r="B256" s="517" t="s">
        <v>756</v>
      </c>
      <c r="C256" s="736"/>
      <c r="D256" s="737"/>
      <c r="E256" s="483"/>
      <c r="F256" s="666">
        <v>19003.9429198468</v>
      </c>
      <c r="G256" s="666"/>
      <c r="H256" s="746">
        <v>520</v>
      </c>
      <c r="I256" s="393">
        <f t="shared" si="4"/>
        <v>0.25</v>
      </c>
    </row>
    <row r="257" spans="1:9" ht="19.5" customHeight="1">
      <c r="A257" s="474">
        <v>177</v>
      </c>
      <c r="B257" s="517" t="s">
        <v>478</v>
      </c>
      <c r="C257" s="736"/>
      <c r="D257" s="737"/>
      <c r="E257" s="483"/>
      <c r="F257" s="666">
        <v>49934.9362881548</v>
      </c>
      <c r="G257" s="666">
        <v>559</v>
      </c>
      <c r="H257" s="746">
        <v>1248</v>
      </c>
      <c r="I257" s="393">
        <f t="shared" si="4"/>
        <v>0.6</v>
      </c>
    </row>
    <row r="258" spans="1:9" ht="19.5" customHeight="1">
      <c r="A258" s="474">
        <v>178</v>
      </c>
      <c r="B258" s="517" t="s">
        <v>479</v>
      </c>
      <c r="C258" s="736"/>
      <c r="D258" s="737"/>
      <c r="E258" s="581"/>
      <c r="F258" s="666">
        <v>86709.1535710787</v>
      </c>
      <c r="G258" s="666">
        <v>952</v>
      </c>
      <c r="H258" s="746">
        <v>2080</v>
      </c>
      <c r="I258" s="393">
        <f t="shared" si="4"/>
        <v>1</v>
      </c>
    </row>
    <row r="259" spans="1:9" ht="19.5" customHeight="1">
      <c r="A259" s="474">
        <v>179</v>
      </c>
      <c r="B259" s="517" t="s">
        <v>486</v>
      </c>
      <c r="C259" s="736"/>
      <c r="D259" s="737"/>
      <c r="E259" s="581"/>
      <c r="F259" s="666">
        <v>31853.7817641487</v>
      </c>
      <c r="G259" s="666">
        <v>221</v>
      </c>
      <c r="H259" s="746">
        <v>876</v>
      </c>
      <c r="I259" s="393">
        <f t="shared" si="4"/>
        <v>0.42</v>
      </c>
    </row>
    <row r="260" spans="1:9" ht="19.5" customHeight="1">
      <c r="A260" s="474">
        <v>180</v>
      </c>
      <c r="B260" s="517" t="s">
        <v>478</v>
      </c>
      <c r="C260" s="738"/>
      <c r="D260" s="739"/>
      <c r="E260" s="581"/>
      <c r="F260" s="666">
        <v>93260.1400128187</v>
      </c>
      <c r="G260" s="666">
        <v>935</v>
      </c>
      <c r="H260" s="746">
        <v>2080</v>
      </c>
      <c r="I260" s="393">
        <f t="shared" si="4"/>
        <v>1</v>
      </c>
    </row>
    <row r="261" spans="1:9" ht="19.5" customHeight="1">
      <c r="A261" s="474">
        <v>181</v>
      </c>
      <c r="B261" s="517" t="s">
        <v>478</v>
      </c>
      <c r="C261" s="736"/>
      <c r="D261" s="737"/>
      <c r="E261" s="581"/>
      <c r="F261" s="666">
        <v>19756.2739270727</v>
      </c>
      <c r="G261" s="666">
        <v>198</v>
      </c>
      <c r="H261" s="746">
        <v>520</v>
      </c>
      <c r="I261" s="393">
        <f t="shared" si="4"/>
        <v>0.25</v>
      </c>
    </row>
    <row r="262" spans="1:9" ht="19.5" customHeight="1">
      <c r="A262" s="474">
        <v>182</v>
      </c>
      <c r="B262" s="517" t="s">
        <v>478</v>
      </c>
      <c r="C262" s="736"/>
      <c r="D262" s="737"/>
      <c r="E262" s="581"/>
      <c r="F262" s="666">
        <v>42360.2589815791</v>
      </c>
      <c r="G262" s="666">
        <v>20</v>
      </c>
      <c r="H262" s="746">
        <v>1040</v>
      </c>
      <c r="I262" s="393">
        <f t="shared" si="4"/>
        <v>0.5</v>
      </c>
    </row>
    <row r="263" spans="1:9" ht="19.5" customHeight="1">
      <c r="A263" s="474">
        <v>183</v>
      </c>
      <c r="B263" s="517" t="s">
        <v>478</v>
      </c>
      <c r="C263" s="736"/>
      <c r="D263" s="737"/>
      <c r="E263" s="581"/>
      <c r="F263" s="666">
        <v>82269.5467130588</v>
      </c>
      <c r="G263" s="666">
        <v>919</v>
      </c>
      <c r="H263" s="746">
        <v>2080</v>
      </c>
      <c r="I263" s="393">
        <f t="shared" si="4"/>
        <v>1</v>
      </c>
    </row>
    <row r="264" spans="1:9" ht="19.5" customHeight="1">
      <c r="A264" s="474">
        <v>184</v>
      </c>
      <c r="B264" s="517" t="s">
        <v>479</v>
      </c>
      <c r="C264" s="736"/>
      <c r="D264" s="737"/>
      <c r="E264" s="581"/>
      <c r="F264" s="666">
        <v>103147.330107903</v>
      </c>
      <c r="G264" s="666">
        <v>1513</v>
      </c>
      <c r="H264" s="746">
        <v>2080</v>
      </c>
      <c r="I264" s="393">
        <f t="shared" si="4"/>
        <v>1</v>
      </c>
    </row>
    <row r="265" spans="1:9" ht="19.5" customHeight="1">
      <c r="A265" s="474">
        <v>185</v>
      </c>
      <c r="B265" s="517" t="s">
        <v>479</v>
      </c>
      <c r="C265" s="736"/>
      <c r="D265" s="737"/>
      <c r="E265" s="581"/>
      <c r="F265" s="666">
        <v>132252.14552515</v>
      </c>
      <c r="G265" s="666">
        <v>2696</v>
      </c>
      <c r="H265" s="746">
        <v>2080</v>
      </c>
      <c r="I265" s="393">
        <f t="shared" si="4"/>
        <v>1</v>
      </c>
    </row>
    <row r="266" spans="1:9" ht="19.5" customHeight="1">
      <c r="A266" s="474">
        <v>186</v>
      </c>
      <c r="B266" s="517" t="s">
        <v>748</v>
      </c>
      <c r="C266" s="736"/>
      <c r="D266" s="737"/>
      <c r="E266" s="581"/>
      <c r="F266" s="666">
        <v>3660.82381156483</v>
      </c>
      <c r="G266" s="666"/>
      <c r="H266" s="746">
        <v>128</v>
      </c>
      <c r="I266" s="393">
        <f t="shared" si="4"/>
        <v>0.06</v>
      </c>
    </row>
    <row r="267" spans="1:9" ht="19.5" customHeight="1">
      <c r="A267" s="474">
        <v>187</v>
      </c>
      <c r="B267" s="517" t="s">
        <v>747</v>
      </c>
      <c r="C267" s="736"/>
      <c r="D267" s="737"/>
      <c r="E267" s="581"/>
      <c r="F267" s="666">
        <v>34847.2589961765</v>
      </c>
      <c r="G267" s="666"/>
      <c r="H267" s="746">
        <v>978</v>
      </c>
      <c r="I267" s="393">
        <f t="shared" si="4"/>
        <v>0.47</v>
      </c>
    </row>
    <row r="268" spans="1:9" ht="19.5" customHeight="1">
      <c r="A268" s="474">
        <v>188</v>
      </c>
      <c r="B268" s="517" t="s">
        <v>478</v>
      </c>
      <c r="C268" s="736"/>
      <c r="D268" s="737"/>
      <c r="E268" s="581"/>
      <c r="F268" s="666">
        <v>32829.33</v>
      </c>
      <c r="G268" s="666">
        <v>230</v>
      </c>
      <c r="H268" s="746">
        <v>1040</v>
      </c>
      <c r="I268" s="393">
        <f t="shared" si="4"/>
        <v>0.5</v>
      </c>
    </row>
    <row r="269" spans="1:9" ht="19.5" customHeight="1">
      <c r="A269" s="474">
        <v>189</v>
      </c>
      <c r="B269" s="517" t="s">
        <v>747</v>
      </c>
      <c r="C269" s="736"/>
      <c r="D269" s="737"/>
      <c r="E269" s="581"/>
      <c r="F269" s="666">
        <v>11817.6698922489</v>
      </c>
      <c r="G269" s="666"/>
      <c r="H269" s="746">
        <v>277.3333333333333</v>
      </c>
      <c r="I269" s="393">
        <f t="shared" si="4"/>
        <v>0.13</v>
      </c>
    </row>
    <row r="270" spans="1:9" ht="19.5" customHeight="1">
      <c r="A270" s="474">
        <v>190</v>
      </c>
      <c r="B270" s="517" t="s">
        <v>479</v>
      </c>
      <c r="C270" s="736"/>
      <c r="D270" s="737"/>
      <c r="E270" s="581"/>
      <c r="F270" s="666">
        <v>105770.8286440579</v>
      </c>
      <c r="G270" s="666">
        <v>2513</v>
      </c>
      <c r="H270" s="746">
        <v>2080</v>
      </c>
      <c r="I270" s="393">
        <f t="shared" si="4"/>
        <v>1</v>
      </c>
    </row>
    <row r="271" spans="1:9" ht="19.5" customHeight="1">
      <c r="A271" s="474">
        <v>191</v>
      </c>
      <c r="B271" s="517" t="s">
        <v>479</v>
      </c>
      <c r="C271" s="736"/>
      <c r="D271" s="737"/>
      <c r="E271" s="581"/>
      <c r="F271" s="666">
        <v>99418.6510652725</v>
      </c>
      <c r="G271" s="666">
        <v>1553</v>
      </c>
      <c r="H271" s="746">
        <v>2080</v>
      </c>
      <c r="I271" s="393">
        <f t="shared" si="4"/>
        <v>1</v>
      </c>
    </row>
    <row r="272" spans="1:9" ht="19.5" customHeight="1">
      <c r="A272" s="474">
        <v>192</v>
      </c>
      <c r="B272" s="517" t="s">
        <v>452</v>
      </c>
      <c r="C272" s="736"/>
      <c r="D272" s="737"/>
      <c r="E272" s="581"/>
      <c r="F272" s="666">
        <v>62517.6390517919</v>
      </c>
      <c r="G272" s="666">
        <v>251</v>
      </c>
      <c r="H272" s="746">
        <v>1768</v>
      </c>
      <c r="I272" s="393">
        <f t="shared" si="4"/>
        <v>0.85</v>
      </c>
    </row>
    <row r="273" spans="1:9" ht="19.5" customHeight="1">
      <c r="A273" s="474">
        <v>193</v>
      </c>
      <c r="B273" s="517" t="s">
        <v>757</v>
      </c>
      <c r="C273" s="736"/>
      <c r="D273" s="737"/>
      <c r="E273" s="581"/>
      <c r="F273" s="666">
        <v>59722.007602979</v>
      </c>
      <c r="G273" s="666"/>
      <c r="H273" s="746">
        <v>2080</v>
      </c>
      <c r="I273" s="393">
        <f aca="true" t="shared" si="5" ref="I273:I288">ROUND(H273/2080,2)</f>
        <v>1</v>
      </c>
    </row>
    <row r="274" spans="1:9" ht="19.5" customHeight="1">
      <c r="A274" s="474">
        <v>194</v>
      </c>
      <c r="B274" s="517" t="s">
        <v>479</v>
      </c>
      <c r="C274" s="736"/>
      <c r="D274" s="737"/>
      <c r="E274" s="581"/>
      <c r="F274" s="666">
        <v>59466.6472088814</v>
      </c>
      <c r="G274" s="666">
        <v>695</v>
      </c>
      <c r="H274" s="746">
        <v>2080</v>
      </c>
      <c r="I274" s="393">
        <f t="shared" si="5"/>
        <v>1</v>
      </c>
    </row>
    <row r="275" spans="1:9" ht="19.5" customHeight="1">
      <c r="A275" s="474">
        <v>195</v>
      </c>
      <c r="B275" s="517" t="s">
        <v>478</v>
      </c>
      <c r="C275" s="736"/>
      <c r="D275" s="737"/>
      <c r="E275" s="581"/>
      <c r="F275" s="666">
        <v>44301.822376558</v>
      </c>
      <c r="G275" s="666">
        <v>202</v>
      </c>
      <c r="H275" s="746">
        <v>1386.6666666666667</v>
      </c>
      <c r="I275" s="393">
        <f t="shared" si="5"/>
        <v>0.67</v>
      </c>
    </row>
    <row r="276" spans="1:9" ht="19.5" customHeight="1">
      <c r="A276" s="474">
        <v>196</v>
      </c>
      <c r="B276" s="517" t="s">
        <v>750</v>
      </c>
      <c r="C276" s="736"/>
      <c r="D276" s="737"/>
      <c r="E276" s="581"/>
      <c r="F276" s="666">
        <v>14757.774868133</v>
      </c>
      <c r="G276" s="666"/>
      <c r="H276" s="746">
        <v>416</v>
      </c>
      <c r="I276" s="393">
        <f t="shared" si="5"/>
        <v>0.2</v>
      </c>
    </row>
    <row r="277" spans="1:9" ht="19.5" customHeight="1">
      <c r="A277" s="474">
        <v>197</v>
      </c>
      <c r="B277" s="517" t="s">
        <v>748</v>
      </c>
      <c r="C277" s="736"/>
      <c r="D277" s="737"/>
      <c r="E277" s="581"/>
      <c r="F277" s="666">
        <v>20197.2973067871</v>
      </c>
      <c r="G277" s="666"/>
      <c r="H277" s="746">
        <v>520</v>
      </c>
      <c r="I277" s="393">
        <f t="shared" si="5"/>
        <v>0.25</v>
      </c>
    </row>
    <row r="278" spans="1:9" ht="19.5" customHeight="1">
      <c r="A278" s="474">
        <v>198</v>
      </c>
      <c r="B278" s="517" t="s">
        <v>478</v>
      </c>
      <c r="C278" s="736"/>
      <c r="D278" s="737"/>
      <c r="E278" s="581"/>
      <c r="F278" s="666">
        <v>49153.4052422416</v>
      </c>
      <c r="G278" s="666">
        <v>366</v>
      </c>
      <c r="H278" s="746">
        <v>1040</v>
      </c>
      <c r="I278" s="393">
        <f t="shared" si="5"/>
        <v>0.5</v>
      </c>
    </row>
    <row r="279" spans="1:9" ht="19.5" customHeight="1">
      <c r="A279" s="474">
        <v>199</v>
      </c>
      <c r="B279" s="517" t="s">
        <v>478</v>
      </c>
      <c r="C279" s="736"/>
      <c r="D279" s="737"/>
      <c r="E279" s="581"/>
      <c r="F279" s="666">
        <v>4315.3769269575</v>
      </c>
      <c r="G279" s="666">
        <v>20</v>
      </c>
      <c r="H279" s="746">
        <v>149</v>
      </c>
      <c r="I279" s="393">
        <f t="shared" si="5"/>
        <v>0.07</v>
      </c>
    </row>
    <row r="280" spans="1:9" ht="19.5" customHeight="1">
      <c r="A280" s="474">
        <v>200</v>
      </c>
      <c r="B280" s="517" t="s">
        <v>452</v>
      </c>
      <c r="C280" s="736"/>
      <c r="D280" s="737"/>
      <c r="E280" s="581"/>
      <c r="F280" s="666">
        <v>45420.28383879598</v>
      </c>
      <c r="G280" s="666">
        <v>1440</v>
      </c>
      <c r="H280" s="746">
        <v>1664</v>
      </c>
      <c r="I280" s="393">
        <f t="shared" si="5"/>
        <v>0.8</v>
      </c>
    </row>
    <row r="281" spans="1:9" ht="19.5" customHeight="1">
      <c r="A281" s="474">
        <v>201</v>
      </c>
      <c r="B281" s="517" t="s">
        <v>478</v>
      </c>
      <c r="C281" s="736"/>
      <c r="D281" s="737"/>
      <c r="E281" s="581"/>
      <c r="F281" s="666">
        <v>31020.598506197</v>
      </c>
      <c r="G281" s="666">
        <v>196</v>
      </c>
      <c r="H281" s="746">
        <v>693.3333333333334</v>
      </c>
      <c r="I281" s="393">
        <f t="shared" si="5"/>
        <v>0.33</v>
      </c>
    </row>
    <row r="282" spans="1:9" ht="19.5" customHeight="1">
      <c r="A282" s="474">
        <v>202</v>
      </c>
      <c r="B282" s="517" t="s">
        <v>479</v>
      </c>
      <c r="C282" s="736"/>
      <c r="D282" s="737"/>
      <c r="E282" s="581"/>
      <c r="F282" s="666">
        <v>59187.7354416495</v>
      </c>
      <c r="G282" s="666">
        <v>532</v>
      </c>
      <c r="H282" s="746">
        <v>2080</v>
      </c>
      <c r="I282" s="393">
        <f t="shared" si="5"/>
        <v>1</v>
      </c>
    </row>
    <row r="283" spans="1:9" ht="19.5" customHeight="1">
      <c r="A283" s="474">
        <f aca="true" t="shared" si="6" ref="A283:A288">+A282+1</f>
        <v>203</v>
      </c>
      <c r="B283" s="517" t="s">
        <v>479</v>
      </c>
      <c r="C283" s="736"/>
      <c r="D283" s="737"/>
      <c r="E283" s="581"/>
      <c r="F283" s="666">
        <v>74553.74310962271</v>
      </c>
      <c r="G283" s="666">
        <v>1596</v>
      </c>
      <c r="H283" s="746">
        <v>2080</v>
      </c>
      <c r="I283" s="393">
        <f t="shared" si="5"/>
        <v>1</v>
      </c>
    </row>
    <row r="284" spans="1:9" ht="19.5" customHeight="1">
      <c r="A284" s="474">
        <f t="shared" si="6"/>
        <v>204</v>
      </c>
      <c r="B284" s="517" t="s">
        <v>746</v>
      </c>
      <c r="C284" s="736"/>
      <c r="D284" s="737"/>
      <c r="E284" s="581"/>
      <c r="F284" s="666">
        <v>15681.8151303935</v>
      </c>
      <c r="G284" s="666"/>
      <c r="H284" s="746">
        <v>448</v>
      </c>
      <c r="I284" s="393">
        <f t="shared" si="5"/>
        <v>0.22</v>
      </c>
    </row>
    <row r="285" spans="1:9" ht="19.5" customHeight="1">
      <c r="A285" s="474">
        <f t="shared" si="6"/>
        <v>205</v>
      </c>
      <c r="B285" s="517" t="s">
        <v>479</v>
      </c>
      <c r="C285" s="736"/>
      <c r="D285" s="737"/>
      <c r="E285" s="581"/>
      <c r="F285" s="666">
        <v>146045.33187235</v>
      </c>
      <c r="G285" s="666">
        <v>3694</v>
      </c>
      <c r="H285" s="746">
        <v>2080</v>
      </c>
      <c r="I285" s="393">
        <f t="shared" si="5"/>
        <v>1</v>
      </c>
    </row>
    <row r="286" spans="1:9" ht="19.5" customHeight="1">
      <c r="A286" s="474">
        <f t="shared" si="6"/>
        <v>206</v>
      </c>
      <c r="B286" s="517" t="s">
        <v>478</v>
      </c>
      <c r="C286" s="736"/>
      <c r="D286" s="737"/>
      <c r="E286" s="581"/>
      <c r="F286" s="666">
        <v>16309.1019844953</v>
      </c>
      <c r="G286" s="666">
        <v>266</v>
      </c>
      <c r="H286" s="746">
        <v>419</v>
      </c>
      <c r="I286" s="393">
        <f t="shared" si="5"/>
        <v>0.2</v>
      </c>
    </row>
    <row r="287" spans="1:9" ht="19.5" customHeight="1">
      <c r="A287" s="474">
        <f t="shared" si="6"/>
        <v>207</v>
      </c>
      <c r="B287" s="517" t="s">
        <v>478</v>
      </c>
      <c r="C287" s="736"/>
      <c r="D287" s="737"/>
      <c r="E287" s="581"/>
      <c r="F287" s="666">
        <v>17036.8333076824</v>
      </c>
      <c r="G287" s="666">
        <v>61</v>
      </c>
      <c r="H287" s="746">
        <v>520</v>
      </c>
      <c r="I287" s="393">
        <f t="shared" si="5"/>
        <v>0.25</v>
      </c>
    </row>
    <row r="288" spans="1:9" ht="19.5" customHeight="1">
      <c r="A288" s="474">
        <f t="shared" si="6"/>
        <v>208</v>
      </c>
      <c r="B288" s="517" t="s">
        <v>478</v>
      </c>
      <c r="C288" s="736"/>
      <c r="D288" s="737"/>
      <c r="E288" s="581"/>
      <c r="F288" s="666">
        <v>62304.3637605079</v>
      </c>
      <c r="G288" s="666">
        <v>108</v>
      </c>
      <c r="H288" s="746">
        <v>1437</v>
      </c>
      <c r="I288" s="393">
        <f t="shared" si="5"/>
        <v>0.69</v>
      </c>
    </row>
    <row r="289" spans="1:9" ht="19.5" customHeight="1" thickBot="1">
      <c r="A289" s="293"/>
      <c r="B289" s="957" t="s">
        <v>276</v>
      </c>
      <c r="C289" s="958"/>
      <c r="D289" s="958"/>
      <c r="E289" s="388"/>
      <c r="F289" s="661">
        <f>SUM(F81:F288)</f>
        <v>13690085.76238301</v>
      </c>
      <c r="G289" s="662">
        <f>SUM(G81:G288)</f>
        <v>160213</v>
      </c>
      <c r="H289" s="662">
        <f>SUM(H81:H288)</f>
        <v>312788.3333333333</v>
      </c>
      <c r="I289" s="663">
        <f>SUM(I81:I288)</f>
        <v>150.40999999999985</v>
      </c>
    </row>
    <row r="290" spans="1:9" ht="19.5" customHeight="1" thickTop="1">
      <c r="A290" s="293"/>
      <c r="B290" s="375"/>
      <c r="C290" s="375"/>
      <c r="D290" s="375"/>
      <c r="E290" s="375"/>
      <c r="F290" s="368"/>
      <c r="G290" s="294"/>
      <c r="H290" s="295"/>
      <c r="I290" s="396"/>
    </row>
    <row r="291" spans="1:9" ht="19.5" customHeight="1">
      <c r="A291" s="207" t="s">
        <v>92</v>
      </c>
      <c r="B291" s="961" t="s">
        <v>207</v>
      </c>
      <c r="C291" s="961"/>
      <c r="D291" s="961"/>
      <c r="E291" s="527"/>
      <c r="F291" s="338"/>
      <c r="G291" s="338"/>
      <c r="H291" s="390"/>
      <c r="I291" s="391"/>
    </row>
    <row r="292" spans="1:9" ht="19.5" customHeight="1">
      <c r="A292" s="474">
        <v>1</v>
      </c>
      <c r="B292" s="517" t="s">
        <v>742</v>
      </c>
      <c r="C292" s="544"/>
      <c r="D292" s="545"/>
      <c r="E292" s="486"/>
      <c r="F292" s="582" t="s">
        <v>559</v>
      </c>
      <c r="G292" s="747">
        <v>3078</v>
      </c>
      <c r="H292" s="392">
        <f>G292*0.68</f>
        <v>2093.04</v>
      </c>
      <c r="I292" s="393">
        <f>ROUND(H292/2080,2)</f>
        <v>1.01</v>
      </c>
    </row>
    <row r="293" spans="1:9" ht="19.5" customHeight="1">
      <c r="A293" s="474">
        <v>2</v>
      </c>
      <c r="B293" s="517" t="s">
        <v>742</v>
      </c>
      <c r="C293" s="544"/>
      <c r="D293" s="545"/>
      <c r="E293" s="486"/>
      <c r="F293" s="582" t="s">
        <v>559</v>
      </c>
      <c r="G293" s="747">
        <v>2924</v>
      </c>
      <c r="H293" s="392">
        <f aca="true" t="shared" si="7" ref="H293:H337">G293*0.68</f>
        <v>1988.3200000000002</v>
      </c>
      <c r="I293" s="393">
        <f aca="true" t="shared" si="8" ref="I293:I337">ROUND(H293/2080,2)</f>
        <v>0.96</v>
      </c>
    </row>
    <row r="294" spans="1:9" ht="19.5" customHeight="1">
      <c r="A294" s="474">
        <v>3</v>
      </c>
      <c r="B294" s="517" t="s">
        <v>479</v>
      </c>
      <c r="C294" s="544"/>
      <c r="D294" s="545"/>
      <c r="E294" s="486"/>
      <c r="F294" s="582" t="s">
        <v>559</v>
      </c>
      <c r="G294" s="747">
        <v>2915</v>
      </c>
      <c r="H294" s="392">
        <f t="shared" si="7"/>
        <v>1982.2</v>
      </c>
      <c r="I294" s="393">
        <f t="shared" si="8"/>
        <v>0.95</v>
      </c>
    </row>
    <row r="295" spans="1:9" ht="19.5" customHeight="1">
      <c r="A295" s="474">
        <v>4</v>
      </c>
      <c r="B295" s="517" t="s">
        <v>732</v>
      </c>
      <c r="C295" s="544"/>
      <c r="D295" s="545"/>
      <c r="E295" s="486"/>
      <c r="F295" s="582" t="s">
        <v>559</v>
      </c>
      <c r="G295" s="747">
        <v>2534</v>
      </c>
      <c r="H295" s="392">
        <f t="shared" si="7"/>
        <v>1723.1200000000001</v>
      </c>
      <c r="I295" s="393">
        <f t="shared" si="8"/>
        <v>0.83</v>
      </c>
    </row>
    <row r="296" spans="1:9" ht="19.5" customHeight="1">
      <c r="A296" s="474">
        <v>5</v>
      </c>
      <c r="B296" s="517" t="s">
        <v>479</v>
      </c>
      <c r="C296" s="544"/>
      <c r="D296" s="545"/>
      <c r="E296" s="486"/>
      <c r="F296" s="582" t="s">
        <v>559</v>
      </c>
      <c r="G296" s="747">
        <v>1906</v>
      </c>
      <c r="H296" s="392">
        <f t="shared" si="7"/>
        <v>1296.0800000000002</v>
      </c>
      <c r="I296" s="393">
        <f t="shared" si="8"/>
        <v>0.62</v>
      </c>
    </row>
    <row r="297" spans="1:9" ht="19.5" customHeight="1">
      <c r="A297" s="474">
        <v>6</v>
      </c>
      <c r="B297" s="517" t="s">
        <v>742</v>
      </c>
      <c r="C297" s="544"/>
      <c r="D297" s="545"/>
      <c r="E297" s="486"/>
      <c r="F297" s="582" t="s">
        <v>559</v>
      </c>
      <c r="G297" s="747">
        <v>1880</v>
      </c>
      <c r="H297" s="392">
        <f t="shared" si="7"/>
        <v>1278.4</v>
      </c>
      <c r="I297" s="393">
        <f t="shared" si="8"/>
        <v>0.61</v>
      </c>
    </row>
    <row r="298" spans="1:9" ht="19.5" customHeight="1">
      <c r="A298" s="474">
        <v>7</v>
      </c>
      <c r="B298" s="517" t="s">
        <v>479</v>
      </c>
      <c r="C298" s="544"/>
      <c r="D298" s="545"/>
      <c r="E298" s="486"/>
      <c r="F298" s="582" t="s">
        <v>559</v>
      </c>
      <c r="G298" s="747">
        <v>1738</v>
      </c>
      <c r="H298" s="392">
        <f t="shared" si="7"/>
        <v>1181.8400000000001</v>
      </c>
      <c r="I298" s="393">
        <f t="shared" si="8"/>
        <v>0.57</v>
      </c>
    </row>
    <row r="299" spans="1:9" ht="19.5" customHeight="1">
      <c r="A299" s="474">
        <v>8</v>
      </c>
      <c r="B299" s="517" t="s">
        <v>479</v>
      </c>
      <c r="C299" s="544"/>
      <c r="D299" s="545"/>
      <c r="E299" s="486"/>
      <c r="F299" s="582" t="s">
        <v>559</v>
      </c>
      <c r="G299" s="747">
        <v>1713</v>
      </c>
      <c r="H299" s="392">
        <f t="shared" si="7"/>
        <v>1164.8400000000001</v>
      </c>
      <c r="I299" s="393">
        <f t="shared" si="8"/>
        <v>0.56</v>
      </c>
    </row>
    <row r="300" spans="1:9" ht="19.5" customHeight="1">
      <c r="A300" s="474">
        <v>9</v>
      </c>
      <c r="B300" s="517" t="s">
        <v>742</v>
      </c>
      <c r="C300" s="544"/>
      <c r="D300" s="545"/>
      <c r="E300" s="486"/>
      <c r="F300" s="582" t="s">
        <v>559</v>
      </c>
      <c r="G300" s="747">
        <v>1647</v>
      </c>
      <c r="H300" s="392">
        <f t="shared" si="7"/>
        <v>1119.96</v>
      </c>
      <c r="I300" s="393">
        <f t="shared" si="8"/>
        <v>0.54</v>
      </c>
    </row>
    <row r="301" spans="1:9" ht="19.5" customHeight="1">
      <c r="A301" s="474">
        <v>10</v>
      </c>
      <c r="B301" s="517" t="s">
        <v>479</v>
      </c>
      <c r="C301" s="544"/>
      <c r="D301" s="545"/>
      <c r="E301" s="486"/>
      <c r="F301" s="582" t="s">
        <v>559</v>
      </c>
      <c r="G301" s="747">
        <v>1609</v>
      </c>
      <c r="H301" s="392">
        <f t="shared" si="7"/>
        <v>1094.1200000000001</v>
      </c>
      <c r="I301" s="393">
        <f t="shared" si="8"/>
        <v>0.53</v>
      </c>
    </row>
    <row r="302" spans="1:9" ht="19.5" customHeight="1">
      <c r="A302" s="474">
        <v>11</v>
      </c>
      <c r="B302" s="517" t="s">
        <v>479</v>
      </c>
      <c r="C302" s="544"/>
      <c r="D302" s="545"/>
      <c r="E302" s="486"/>
      <c r="F302" s="582" t="s">
        <v>559</v>
      </c>
      <c r="G302" s="747">
        <v>1594</v>
      </c>
      <c r="H302" s="392">
        <f t="shared" si="7"/>
        <v>1083.92</v>
      </c>
      <c r="I302" s="393">
        <f t="shared" si="8"/>
        <v>0.52</v>
      </c>
    </row>
    <row r="303" spans="1:9" ht="19.5" customHeight="1">
      <c r="A303" s="474">
        <v>12</v>
      </c>
      <c r="B303" s="517" t="s">
        <v>742</v>
      </c>
      <c r="C303" s="544"/>
      <c r="D303" s="545"/>
      <c r="E303" s="486"/>
      <c r="F303" s="582" t="s">
        <v>559</v>
      </c>
      <c r="G303" s="747">
        <v>1483</v>
      </c>
      <c r="H303" s="392">
        <f t="shared" si="7"/>
        <v>1008.44</v>
      </c>
      <c r="I303" s="393">
        <f t="shared" si="8"/>
        <v>0.48</v>
      </c>
    </row>
    <row r="304" spans="1:9" ht="19.5" customHeight="1">
      <c r="A304" s="474">
        <v>13</v>
      </c>
      <c r="B304" s="517" t="s">
        <v>732</v>
      </c>
      <c r="C304" s="544"/>
      <c r="D304" s="545"/>
      <c r="E304" s="486"/>
      <c r="F304" s="582" t="s">
        <v>559</v>
      </c>
      <c r="G304" s="747">
        <v>1363</v>
      </c>
      <c r="H304" s="392">
        <f t="shared" si="7"/>
        <v>926.84</v>
      </c>
      <c r="I304" s="393">
        <f t="shared" si="8"/>
        <v>0.45</v>
      </c>
    </row>
    <row r="305" spans="1:9" ht="19.5" customHeight="1">
      <c r="A305" s="474">
        <v>14</v>
      </c>
      <c r="B305" s="517" t="s">
        <v>732</v>
      </c>
      <c r="C305" s="544"/>
      <c r="D305" s="545"/>
      <c r="E305" s="486"/>
      <c r="F305" s="582" t="s">
        <v>559</v>
      </c>
      <c r="G305" s="747">
        <v>1233</v>
      </c>
      <c r="H305" s="392">
        <f t="shared" si="7"/>
        <v>838.44</v>
      </c>
      <c r="I305" s="393">
        <f t="shared" si="8"/>
        <v>0.4</v>
      </c>
    </row>
    <row r="306" spans="1:9" ht="19.5" customHeight="1">
      <c r="A306" s="474">
        <v>15</v>
      </c>
      <c r="B306" s="517" t="s">
        <v>732</v>
      </c>
      <c r="C306" s="544"/>
      <c r="D306" s="545"/>
      <c r="E306" s="486"/>
      <c r="F306" s="582" t="s">
        <v>559</v>
      </c>
      <c r="G306" s="747">
        <v>1232</v>
      </c>
      <c r="H306" s="392">
        <f t="shared" si="7"/>
        <v>837.7600000000001</v>
      </c>
      <c r="I306" s="393">
        <f t="shared" si="8"/>
        <v>0.4</v>
      </c>
    </row>
    <row r="307" spans="1:9" ht="19.5" customHeight="1">
      <c r="A307" s="474">
        <v>16</v>
      </c>
      <c r="B307" s="517" t="s">
        <v>732</v>
      </c>
      <c r="C307" s="544"/>
      <c r="D307" s="545"/>
      <c r="E307" s="486"/>
      <c r="F307" s="582" t="s">
        <v>559</v>
      </c>
      <c r="G307" s="747">
        <v>1160</v>
      </c>
      <c r="H307" s="392">
        <f t="shared" si="7"/>
        <v>788.8000000000001</v>
      </c>
      <c r="I307" s="393">
        <f t="shared" si="8"/>
        <v>0.38</v>
      </c>
    </row>
    <row r="308" spans="1:9" ht="19.5" customHeight="1">
      <c r="A308" s="474">
        <v>17</v>
      </c>
      <c r="B308" s="517" t="s">
        <v>732</v>
      </c>
      <c r="C308" s="544"/>
      <c r="D308" s="545"/>
      <c r="E308" s="486"/>
      <c r="F308" s="582" t="s">
        <v>559</v>
      </c>
      <c r="G308" s="747">
        <v>1157</v>
      </c>
      <c r="H308" s="392">
        <f t="shared" si="7"/>
        <v>786.7600000000001</v>
      </c>
      <c r="I308" s="393">
        <f t="shared" si="8"/>
        <v>0.38</v>
      </c>
    </row>
    <row r="309" spans="1:9" ht="19.5" customHeight="1">
      <c r="A309" s="474">
        <v>18</v>
      </c>
      <c r="B309" s="517" t="s">
        <v>723</v>
      </c>
      <c r="C309" s="544"/>
      <c r="D309" s="545"/>
      <c r="E309" s="486"/>
      <c r="F309" s="582" t="s">
        <v>559</v>
      </c>
      <c r="G309" s="747">
        <v>1128</v>
      </c>
      <c r="H309" s="392">
        <f t="shared" si="7"/>
        <v>767.0400000000001</v>
      </c>
      <c r="I309" s="393">
        <f t="shared" si="8"/>
        <v>0.37</v>
      </c>
    </row>
    <row r="310" spans="1:9" ht="19.5" customHeight="1">
      <c r="A310" s="474">
        <v>19</v>
      </c>
      <c r="B310" s="517" t="s">
        <v>479</v>
      </c>
      <c r="C310" s="544"/>
      <c r="D310" s="545"/>
      <c r="E310" s="486"/>
      <c r="F310" s="582" t="s">
        <v>559</v>
      </c>
      <c r="G310" s="747">
        <v>1043</v>
      </c>
      <c r="H310" s="392">
        <f t="shared" si="7"/>
        <v>709.24</v>
      </c>
      <c r="I310" s="393">
        <f t="shared" si="8"/>
        <v>0.34</v>
      </c>
    </row>
    <row r="311" spans="1:9" ht="19.5" customHeight="1">
      <c r="A311" s="474">
        <v>20</v>
      </c>
      <c r="B311" s="517" t="s">
        <v>479</v>
      </c>
      <c r="C311" s="544"/>
      <c r="D311" s="545"/>
      <c r="E311" s="486"/>
      <c r="F311" s="582" t="s">
        <v>559</v>
      </c>
      <c r="G311" s="747">
        <v>993</v>
      </c>
      <c r="H311" s="392">
        <f t="shared" si="7"/>
        <v>675.24</v>
      </c>
      <c r="I311" s="393">
        <f t="shared" si="8"/>
        <v>0.32</v>
      </c>
    </row>
    <row r="312" spans="1:9" ht="19.5" customHeight="1">
      <c r="A312" s="474">
        <v>21</v>
      </c>
      <c r="B312" s="517" t="s">
        <v>479</v>
      </c>
      <c r="C312" s="544"/>
      <c r="D312" s="545"/>
      <c r="E312" s="486"/>
      <c r="F312" s="582" t="s">
        <v>559</v>
      </c>
      <c r="G312" s="747">
        <v>970</v>
      </c>
      <c r="H312" s="392">
        <f t="shared" si="7"/>
        <v>659.6</v>
      </c>
      <c r="I312" s="393">
        <f t="shared" si="8"/>
        <v>0.32</v>
      </c>
    </row>
    <row r="313" spans="1:9" ht="19.5" customHeight="1">
      <c r="A313" s="474">
        <v>22</v>
      </c>
      <c r="B313" s="517" t="s">
        <v>742</v>
      </c>
      <c r="C313" s="544"/>
      <c r="D313" s="545"/>
      <c r="E313" s="486"/>
      <c r="F313" s="582" t="s">
        <v>559</v>
      </c>
      <c r="G313" s="747">
        <v>970</v>
      </c>
      <c r="H313" s="392">
        <f t="shared" si="7"/>
        <v>659.6</v>
      </c>
      <c r="I313" s="393">
        <f t="shared" si="8"/>
        <v>0.32</v>
      </c>
    </row>
    <row r="314" spans="1:9" ht="19.5" customHeight="1">
      <c r="A314" s="474">
        <v>23</v>
      </c>
      <c r="B314" s="517" t="s">
        <v>732</v>
      </c>
      <c r="C314" s="544"/>
      <c r="D314" s="545"/>
      <c r="E314" s="486"/>
      <c r="F314" s="582" t="s">
        <v>559</v>
      </c>
      <c r="G314" s="747">
        <v>970</v>
      </c>
      <c r="H314" s="392">
        <f t="shared" si="7"/>
        <v>659.6</v>
      </c>
      <c r="I314" s="393">
        <f t="shared" si="8"/>
        <v>0.32</v>
      </c>
    </row>
    <row r="315" spans="1:9" ht="19.5" customHeight="1">
      <c r="A315" s="474">
        <v>24</v>
      </c>
      <c r="B315" s="517" t="s">
        <v>732</v>
      </c>
      <c r="C315" s="544"/>
      <c r="D315" s="545"/>
      <c r="E315" s="486"/>
      <c r="F315" s="582" t="s">
        <v>559</v>
      </c>
      <c r="G315" s="747">
        <v>965</v>
      </c>
      <c r="H315" s="392">
        <f t="shared" si="7"/>
        <v>656.2</v>
      </c>
      <c r="I315" s="393">
        <f t="shared" si="8"/>
        <v>0.32</v>
      </c>
    </row>
    <row r="316" spans="1:9" ht="19.5" customHeight="1">
      <c r="A316" s="474">
        <v>25</v>
      </c>
      <c r="B316" s="517" t="s">
        <v>742</v>
      </c>
      <c r="C316" s="544"/>
      <c r="D316" s="545"/>
      <c r="E316" s="486"/>
      <c r="F316" s="582" t="s">
        <v>559</v>
      </c>
      <c r="G316" s="747">
        <v>945</v>
      </c>
      <c r="H316" s="392">
        <f t="shared" si="7"/>
        <v>642.6</v>
      </c>
      <c r="I316" s="393">
        <f t="shared" si="8"/>
        <v>0.31</v>
      </c>
    </row>
    <row r="317" spans="1:9" ht="19.5" customHeight="1">
      <c r="A317" s="474">
        <v>26</v>
      </c>
      <c r="B317" s="517" t="s">
        <v>732</v>
      </c>
      <c r="C317" s="544"/>
      <c r="D317" s="545"/>
      <c r="E317" s="486"/>
      <c r="F317" s="582" t="s">
        <v>559</v>
      </c>
      <c r="G317" s="747">
        <v>912</v>
      </c>
      <c r="H317" s="392">
        <f t="shared" si="7"/>
        <v>620.1600000000001</v>
      </c>
      <c r="I317" s="393">
        <f t="shared" si="8"/>
        <v>0.3</v>
      </c>
    </row>
    <row r="318" spans="1:9" ht="19.5" customHeight="1">
      <c r="A318" s="474">
        <v>27</v>
      </c>
      <c r="B318" s="517" t="s">
        <v>742</v>
      </c>
      <c r="C318" s="544"/>
      <c r="D318" s="545"/>
      <c r="E318" s="486"/>
      <c r="F318" s="582" t="s">
        <v>559</v>
      </c>
      <c r="G318" s="747">
        <v>911</v>
      </c>
      <c r="H318" s="392">
        <f t="shared" si="7"/>
        <v>619.48</v>
      </c>
      <c r="I318" s="393">
        <f t="shared" si="8"/>
        <v>0.3</v>
      </c>
    </row>
    <row r="319" spans="1:9" ht="19.5" customHeight="1">
      <c r="A319" s="474">
        <v>28</v>
      </c>
      <c r="B319" s="517" t="s">
        <v>479</v>
      </c>
      <c r="C319" s="544"/>
      <c r="D319" s="545"/>
      <c r="E319" s="486"/>
      <c r="F319" s="582" t="s">
        <v>559</v>
      </c>
      <c r="G319" s="747">
        <v>881</v>
      </c>
      <c r="H319" s="392">
        <f t="shared" si="7"/>
        <v>599.08</v>
      </c>
      <c r="I319" s="393">
        <f t="shared" si="8"/>
        <v>0.29</v>
      </c>
    </row>
    <row r="320" spans="1:9" ht="19.5" customHeight="1">
      <c r="A320" s="474">
        <v>29</v>
      </c>
      <c r="B320" s="517" t="s">
        <v>479</v>
      </c>
      <c r="C320" s="544"/>
      <c r="D320" s="545"/>
      <c r="E320" s="486"/>
      <c r="F320" s="582" t="s">
        <v>559</v>
      </c>
      <c r="G320" s="747">
        <v>804</v>
      </c>
      <c r="H320" s="392">
        <f t="shared" si="7"/>
        <v>546.72</v>
      </c>
      <c r="I320" s="393">
        <f t="shared" si="8"/>
        <v>0.26</v>
      </c>
    </row>
    <row r="321" spans="1:9" ht="19.5" customHeight="1">
      <c r="A321" s="474">
        <v>30</v>
      </c>
      <c r="B321" s="517" t="s">
        <v>479</v>
      </c>
      <c r="C321" s="544"/>
      <c r="D321" s="545"/>
      <c r="E321" s="486"/>
      <c r="F321" s="582" t="s">
        <v>559</v>
      </c>
      <c r="G321" s="747">
        <v>775</v>
      </c>
      <c r="H321" s="392">
        <f t="shared" si="7"/>
        <v>527</v>
      </c>
      <c r="I321" s="393">
        <f t="shared" si="8"/>
        <v>0.25</v>
      </c>
    </row>
    <row r="322" spans="1:9" ht="19.5" customHeight="1">
      <c r="A322" s="474">
        <v>31</v>
      </c>
      <c r="B322" s="517" t="s">
        <v>478</v>
      </c>
      <c r="C322" s="544"/>
      <c r="D322" s="545"/>
      <c r="E322" s="486"/>
      <c r="F322" s="582" t="s">
        <v>559</v>
      </c>
      <c r="G322" s="747">
        <v>659</v>
      </c>
      <c r="H322" s="392">
        <f t="shared" si="7"/>
        <v>448.12</v>
      </c>
      <c r="I322" s="393">
        <f t="shared" si="8"/>
        <v>0.22</v>
      </c>
    </row>
    <row r="323" spans="1:9" ht="19.5" customHeight="1">
      <c r="A323" s="474">
        <v>32</v>
      </c>
      <c r="B323" s="517" t="s">
        <v>743</v>
      </c>
      <c r="C323" s="544"/>
      <c r="D323" s="545"/>
      <c r="E323" s="486"/>
      <c r="F323" s="582" t="s">
        <v>559</v>
      </c>
      <c r="G323" s="747">
        <v>642</v>
      </c>
      <c r="H323" s="392">
        <f t="shared" si="7"/>
        <v>436.56000000000006</v>
      </c>
      <c r="I323" s="393">
        <f t="shared" si="8"/>
        <v>0.21</v>
      </c>
    </row>
    <row r="324" spans="1:9" ht="19.5" customHeight="1">
      <c r="A324" s="474">
        <v>33</v>
      </c>
      <c r="B324" s="517" t="s">
        <v>479</v>
      </c>
      <c r="C324" s="544"/>
      <c r="D324" s="545"/>
      <c r="E324" s="486"/>
      <c r="F324" s="582" t="s">
        <v>559</v>
      </c>
      <c r="G324" s="747">
        <v>614</v>
      </c>
      <c r="H324" s="392">
        <f t="shared" si="7"/>
        <v>417.52000000000004</v>
      </c>
      <c r="I324" s="393">
        <f t="shared" si="8"/>
        <v>0.2</v>
      </c>
    </row>
    <row r="325" spans="1:9" ht="19.5" customHeight="1">
      <c r="A325" s="474">
        <v>34</v>
      </c>
      <c r="B325" s="517" t="s">
        <v>732</v>
      </c>
      <c r="C325" s="544"/>
      <c r="D325" s="545"/>
      <c r="E325" s="486"/>
      <c r="F325" s="582" t="s">
        <v>559</v>
      </c>
      <c r="G325" s="747">
        <v>605</v>
      </c>
      <c r="H325" s="392">
        <f t="shared" si="7"/>
        <v>411.40000000000003</v>
      </c>
      <c r="I325" s="393">
        <f t="shared" si="8"/>
        <v>0.2</v>
      </c>
    </row>
    <row r="326" spans="1:9" ht="19.5" customHeight="1">
      <c r="A326" s="474">
        <v>35</v>
      </c>
      <c r="B326" s="517" t="s">
        <v>478</v>
      </c>
      <c r="C326" s="544"/>
      <c r="D326" s="545"/>
      <c r="E326" s="486"/>
      <c r="F326" s="582" t="s">
        <v>559</v>
      </c>
      <c r="G326" s="747">
        <v>591</v>
      </c>
      <c r="H326" s="392">
        <f t="shared" si="7"/>
        <v>401.88000000000005</v>
      </c>
      <c r="I326" s="393">
        <f t="shared" si="8"/>
        <v>0.19</v>
      </c>
    </row>
    <row r="327" spans="1:9" ht="19.5" customHeight="1">
      <c r="A327" s="474">
        <v>36</v>
      </c>
      <c r="B327" s="517" t="s">
        <v>479</v>
      </c>
      <c r="C327" s="544"/>
      <c r="D327" s="545"/>
      <c r="E327" s="486"/>
      <c r="F327" s="582" t="s">
        <v>559</v>
      </c>
      <c r="G327" s="747">
        <v>575</v>
      </c>
      <c r="H327" s="392">
        <f t="shared" si="7"/>
        <v>391</v>
      </c>
      <c r="I327" s="393">
        <f t="shared" si="8"/>
        <v>0.19</v>
      </c>
    </row>
    <row r="328" spans="1:9" ht="19.5" customHeight="1">
      <c r="A328" s="474">
        <v>37</v>
      </c>
      <c r="B328" s="517" t="s">
        <v>479</v>
      </c>
      <c r="C328" s="544"/>
      <c r="D328" s="545"/>
      <c r="E328" s="486"/>
      <c r="F328" s="582" t="s">
        <v>559</v>
      </c>
      <c r="G328" s="747">
        <v>490</v>
      </c>
      <c r="H328" s="392">
        <f t="shared" si="7"/>
        <v>333.20000000000005</v>
      </c>
      <c r="I328" s="393">
        <f t="shared" si="8"/>
        <v>0.16</v>
      </c>
    </row>
    <row r="329" spans="1:9" ht="19.5" customHeight="1">
      <c r="A329" s="474">
        <v>38</v>
      </c>
      <c r="B329" s="517" t="s">
        <v>723</v>
      </c>
      <c r="C329" s="544"/>
      <c r="D329" s="545"/>
      <c r="E329" s="486"/>
      <c r="F329" s="582" t="s">
        <v>559</v>
      </c>
      <c r="G329" s="747">
        <v>472</v>
      </c>
      <c r="H329" s="392">
        <f t="shared" si="7"/>
        <v>320.96000000000004</v>
      </c>
      <c r="I329" s="393">
        <f t="shared" si="8"/>
        <v>0.15</v>
      </c>
    </row>
    <row r="330" spans="1:9" ht="19.5" customHeight="1">
      <c r="A330" s="474">
        <v>39</v>
      </c>
      <c r="B330" s="517" t="s">
        <v>732</v>
      </c>
      <c r="C330" s="544"/>
      <c r="D330" s="545"/>
      <c r="E330" s="486"/>
      <c r="F330" s="582" t="s">
        <v>559</v>
      </c>
      <c r="G330" s="747">
        <v>451</v>
      </c>
      <c r="H330" s="392">
        <f t="shared" si="7"/>
        <v>306.68</v>
      </c>
      <c r="I330" s="393">
        <f t="shared" si="8"/>
        <v>0.15</v>
      </c>
    </row>
    <row r="331" spans="1:9" ht="19.5" customHeight="1">
      <c r="A331" s="474">
        <v>40</v>
      </c>
      <c r="B331" s="517" t="s">
        <v>732</v>
      </c>
      <c r="C331" s="544"/>
      <c r="D331" s="545"/>
      <c r="E331" s="486"/>
      <c r="F331" s="582" t="s">
        <v>559</v>
      </c>
      <c r="G331" s="747">
        <v>441</v>
      </c>
      <c r="H331" s="392">
        <f t="shared" si="7"/>
        <v>299.88</v>
      </c>
      <c r="I331" s="393">
        <f t="shared" si="8"/>
        <v>0.14</v>
      </c>
    </row>
    <row r="332" spans="1:9" ht="19.5" customHeight="1">
      <c r="A332" s="474">
        <v>41</v>
      </c>
      <c r="B332" s="517" t="s">
        <v>732</v>
      </c>
      <c r="C332" s="544"/>
      <c r="D332" s="545"/>
      <c r="E332" s="486"/>
      <c r="F332" s="582" t="s">
        <v>559</v>
      </c>
      <c r="G332" s="747">
        <v>439</v>
      </c>
      <c r="H332" s="392">
        <f t="shared" si="7"/>
        <v>298.52000000000004</v>
      </c>
      <c r="I332" s="393">
        <f t="shared" si="8"/>
        <v>0.14</v>
      </c>
    </row>
    <row r="333" spans="1:9" ht="19.5" customHeight="1">
      <c r="A333" s="474">
        <v>42</v>
      </c>
      <c r="B333" s="517" t="s">
        <v>732</v>
      </c>
      <c r="C333" s="544"/>
      <c r="D333" s="545"/>
      <c r="E333" s="486"/>
      <c r="F333" s="582" t="s">
        <v>559</v>
      </c>
      <c r="G333" s="747">
        <v>433</v>
      </c>
      <c r="H333" s="392">
        <f t="shared" si="7"/>
        <v>294.44</v>
      </c>
      <c r="I333" s="393">
        <f t="shared" si="8"/>
        <v>0.14</v>
      </c>
    </row>
    <row r="334" spans="1:9" ht="19.5" customHeight="1">
      <c r="A334" s="474">
        <v>43</v>
      </c>
      <c r="B334" s="517" t="s">
        <v>452</v>
      </c>
      <c r="C334" s="544"/>
      <c r="D334" s="545"/>
      <c r="E334" s="486"/>
      <c r="F334" s="582" t="s">
        <v>559</v>
      </c>
      <c r="G334" s="747">
        <v>417</v>
      </c>
      <c r="H334" s="392">
        <f t="shared" si="7"/>
        <v>283.56</v>
      </c>
      <c r="I334" s="393">
        <f t="shared" si="8"/>
        <v>0.14</v>
      </c>
    </row>
    <row r="335" spans="1:9" ht="19.5" customHeight="1">
      <c r="A335" s="474">
        <v>44</v>
      </c>
      <c r="B335" s="517" t="s">
        <v>732</v>
      </c>
      <c r="C335" s="544"/>
      <c r="D335" s="545"/>
      <c r="E335" s="486"/>
      <c r="F335" s="582" t="s">
        <v>559</v>
      </c>
      <c r="G335" s="747">
        <v>383</v>
      </c>
      <c r="H335" s="392">
        <f t="shared" si="7"/>
        <v>260.44</v>
      </c>
      <c r="I335" s="393">
        <f t="shared" si="8"/>
        <v>0.13</v>
      </c>
    </row>
    <row r="336" spans="1:9" ht="19.5" customHeight="1">
      <c r="A336" s="474">
        <f>+A335+1</f>
        <v>45</v>
      </c>
      <c r="B336" s="517" t="s">
        <v>723</v>
      </c>
      <c r="C336" s="544"/>
      <c r="D336" s="545"/>
      <c r="E336" s="486"/>
      <c r="F336" s="582" t="s">
        <v>559</v>
      </c>
      <c r="G336" s="747">
        <v>350</v>
      </c>
      <c r="H336" s="392">
        <f t="shared" si="7"/>
        <v>238.00000000000003</v>
      </c>
      <c r="I336" s="393">
        <f t="shared" si="8"/>
        <v>0.11</v>
      </c>
    </row>
    <row r="337" spans="1:9" ht="19.5" customHeight="1">
      <c r="A337" s="474">
        <f>+A336+1</f>
        <v>46</v>
      </c>
      <c r="B337" s="517" t="s">
        <v>744</v>
      </c>
      <c r="C337" s="544"/>
      <c r="D337" s="545"/>
      <c r="E337" s="486"/>
      <c r="F337" s="582" t="s">
        <v>559</v>
      </c>
      <c r="G337" s="747">
        <v>282</v>
      </c>
      <c r="H337" s="392">
        <f t="shared" si="7"/>
        <v>191.76000000000002</v>
      </c>
      <c r="I337" s="393">
        <f t="shared" si="8"/>
        <v>0.09</v>
      </c>
    </row>
    <row r="338" spans="1:9" ht="19.5" customHeight="1">
      <c r="A338" s="474">
        <f>+A337+1</f>
        <v>47</v>
      </c>
      <c r="B338" s="517" t="s">
        <v>732</v>
      </c>
      <c r="C338" s="544"/>
      <c r="D338" s="545"/>
      <c r="E338" s="486"/>
      <c r="F338" s="582" t="s">
        <v>559</v>
      </c>
      <c r="G338" s="747">
        <v>272</v>
      </c>
      <c r="H338" s="392">
        <f>G338*0.68</f>
        <v>184.96</v>
      </c>
      <c r="I338" s="393">
        <f>ROUND(H338/2080,2)</f>
        <v>0.09</v>
      </c>
    </row>
    <row r="339" spans="1:9" ht="19.5" customHeight="1">
      <c r="A339" s="474">
        <v>100</v>
      </c>
      <c r="B339" s="517" t="s">
        <v>732</v>
      </c>
      <c r="C339" s="544"/>
      <c r="D339" s="545"/>
      <c r="E339" s="486"/>
      <c r="F339" s="582" t="s">
        <v>559</v>
      </c>
      <c r="G339" s="747">
        <v>262</v>
      </c>
      <c r="H339" s="392">
        <f aca="true" t="shared" si="9" ref="H339:H377">G339*0.68</f>
        <v>178.16000000000003</v>
      </c>
      <c r="I339" s="393">
        <f aca="true" t="shared" si="10" ref="I339:I377">ROUND(H339/2080,2)</f>
        <v>0.09</v>
      </c>
    </row>
    <row r="340" spans="1:9" ht="19.5" customHeight="1">
      <c r="A340" s="474">
        <f>+A339+1</f>
        <v>101</v>
      </c>
      <c r="B340" s="517" t="s">
        <v>732</v>
      </c>
      <c r="C340" s="544"/>
      <c r="D340" s="545"/>
      <c r="E340" s="486"/>
      <c r="F340" s="582" t="s">
        <v>559</v>
      </c>
      <c r="G340" s="747">
        <v>207</v>
      </c>
      <c r="H340" s="392">
        <f t="shared" si="9"/>
        <v>140.76000000000002</v>
      </c>
      <c r="I340" s="393">
        <f t="shared" si="10"/>
        <v>0.07</v>
      </c>
    </row>
    <row r="341" spans="1:9" ht="19.5" customHeight="1">
      <c r="A341" s="474">
        <f aca="true" t="shared" si="11" ref="A341:A376">+A340+1</f>
        <v>102</v>
      </c>
      <c r="B341" s="517" t="s">
        <v>479</v>
      </c>
      <c r="C341" s="544"/>
      <c r="D341" s="545"/>
      <c r="E341" s="486"/>
      <c r="F341" s="582" t="s">
        <v>559</v>
      </c>
      <c r="G341" s="747">
        <v>201</v>
      </c>
      <c r="H341" s="392">
        <f t="shared" si="9"/>
        <v>136.68</v>
      </c>
      <c r="I341" s="393">
        <f t="shared" si="10"/>
        <v>0.07</v>
      </c>
    </row>
    <row r="342" spans="1:9" ht="19.5" customHeight="1">
      <c r="A342" s="474">
        <f t="shared" si="11"/>
        <v>103</v>
      </c>
      <c r="B342" s="517" t="s">
        <v>732</v>
      </c>
      <c r="C342" s="544"/>
      <c r="D342" s="545"/>
      <c r="E342" s="486"/>
      <c r="F342" s="582" t="s">
        <v>559</v>
      </c>
      <c r="G342" s="747">
        <v>193</v>
      </c>
      <c r="H342" s="392">
        <f t="shared" si="9"/>
        <v>131.24</v>
      </c>
      <c r="I342" s="393">
        <f t="shared" si="10"/>
        <v>0.06</v>
      </c>
    </row>
    <row r="343" spans="1:9" ht="19.5" customHeight="1">
      <c r="A343" s="474">
        <f t="shared" si="11"/>
        <v>104</v>
      </c>
      <c r="B343" s="517" t="s">
        <v>732</v>
      </c>
      <c r="C343" s="544"/>
      <c r="D343" s="545"/>
      <c r="E343" s="486"/>
      <c r="F343" s="582" t="s">
        <v>559</v>
      </c>
      <c r="G343" s="747">
        <v>185</v>
      </c>
      <c r="H343" s="392">
        <f t="shared" si="9"/>
        <v>125.80000000000001</v>
      </c>
      <c r="I343" s="393">
        <f t="shared" si="10"/>
        <v>0.06</v>
      </c>
    </row>
    <row r="344" spans="1:9" ht="19.5" customHeight="1">
      <c r="A344" s="474">
        <f t="shared" si="11"/>
        <v>105</v>
      </c>
      <c r="B344" s="517" t="s">
        <v>732</v>
      </c>
      <c r="C344" s="544"/>
      <c r="D344" s="545"/>
      <c r="E344" s="486"/>
      <c r="F344" s="582" t="s">
        <v>559</v>
      </c>
      <c r="G344" s="747">
        <v>180</v>
      </c>
      <c r="H344" s="392">
        <f t="shared" si="9"/>
        <v>122.4</v>
      </c>
      <c r="I344" s="393">
        <f t="shared" si="10"/>
        <v>0.06</v>
      </c>
    </row>
    <row r="345" spans="1:9" ht="19.5" customHeight="1">
      <c r="A345" s="474">
        <f t="shared" si="11"/>
        <v>106</v>
      </c>
      <c r="B345" s="517" t="s">
        <v>743</v>
      </c>
      <c r="C345" s="544"/>
      <c r="D345" s="545"/>
      <c r="E345" s="486"/>
      <c r="F345" s="582" t="s">
        <v>559</v>
      </c>
      <c r="G345" s="747">
        <v>163</v>
      </c>
      <c r="H345" s="392">
        <f t="shared" si="9"/>
        <v>110.84</v>
      </c>
      <c r="I345" s="393">
        <f t="shared" si="10"/>
        <v>0.05</v>
      </c>
    </row>
    <row r="346" spans="1:9" ht="19.5" customHeight="1">
      <c r="A346" s="474">
        <f t="shared" si="11"/>
        <v>107</v>
      </c>
      <c r="B346" s="517" t="s">
        <v>732</v>
      </c>
      <c r="C346" s="544"/>
      <c r="D346" s="545"/>
      <c r="E346" s="486"/>
      <c r="F346" s="582" t="s">
        <v>559</v>
      </c>
      <c r="G346" s="747">
        <v>160</v>
      </c>
      <c r="H346" s="392">
        <f t="shared" si="9"/>
        <v>108.80000000000001</v>
      </c>
      <c r="I346" s="393">
        <f t="shared" si="10"/>
        <v>0.05</v>
      </c>
    </row>
    <row r="347" spans="1:9" ht="19.5" customHeight="1">
      <c r="A347" s="474">
        <f t="shared" si="11"/>
        <v>108</v>
      </c>
      <c r="B347" s="517" t="s">
        <v>732</v>
      </c>
      <c r="C347" s="544"/>
      <c r="D347" s="545"/>
      <c r="E347" s="486"/>
      <c r="F347" s="582" t="s">
        <v>559</v>
      </c>
      <c r="G347" s="747">
        <v>147</v>
      </c>
      <c r="H347" s="392">
        <f t="shared" si="9"/>
        <v>99.96000000000001</v>
      </c>
      <c r="I347" s="393">
        <f t="shared" si="10"/>
        <v>0.05</v>
      </c>
    </row>
    <row r="348" spans="1:9" ht="19.5" customHeight="1">
      <c r="A348" s="474">
        <f t="shared" si="11"/>
        <v>109</v>
      </c>
      <c r="B348" s="517" t="s">
        <v>723</v>
      </c>
      <c r="C348" s="544"/>
      <c r="D348" s="545"/>
      <c r="E348" s="486"/>
      <c r="F348" s="582" t="s">
        <v>559</v>
      </c>
      <c r="G348" s="747">
        <v>140</v>
      </c>
      <c r="H348" s="392">
        <f t="shared" si="9"/>
        <v>95.2</v>
      </c>
      <c r="I348" s="393">
        <f t="shared" si="10"/>
        <v>0.05</v>
      </c>
    </row>
    <row r="349" spans="1:9" ht="19.5" customHeight="1">
      <c r="A349" s="474">
        <f t="shared" si="11"/>
        <v>110</v>
      </c>
      <c r="B349" s="517" t="s">
        <v>723</v>
      </c>
      <c r="C349" s="544"/>
      <c r="D349" s="545"/>
      <c r="E349" s="486"/>
      <c r="F349" s="582" t="s">
        <v>559</v>
      </c>
      <c r="G349" s="747">
        <v>135</v>
      </c>
      <c r="H349" s="392">
        <f t="shared" si="9"/>
        <v>91.80000000000001</v>
      </c>
      <c r="I349" s="393">
        <f t="shared" si="10"/>
        <v>0.04</v>
      </c>
    </row>
    <row r="350" spans="1:9" ht="19.5" customHeight="1">
      <c r="A350" s="474">
        <f t="shared" si="11"/>
        <v>111</v>
      </c>
      <c r="B350" s="517" t="s">
        <v>732</v>
      </c>
      <c r="C350" s="544"/>
      <c r="D350" s="545"/>
      <c r="E350" s="486"/>
      <c r="F350" s="582" t="s">
        <v>559</v>
      </c>
      <c r="G350" s="747">
        <v>135</v>
      </c>
      <c r="H350" s="392">
        <f t="shared" si="9"/>
        <v>91.80000000000001</v>
      </c>
      <c r="I350" s="393">
        <f t="shared" si="10"/>
        <v>0.04</v>
      </c>
    </row>
    <row r="351" spans="1:9" ht="19.5" customHeight="1">
      <c r="A351" s="474">
        <f t="shared" si="11"/>
        <v>112</v>
      </c>
      <c r="B351" s="517" t="s">
        <v>723</v>
      </c>
      <c r="C351" s="544"/>
      <c r="D351" s="545"/>
      <c r="E351" s="486"/>
      <c r="F351" s="582" t="s">
        <v>559</v>
      </c>
      <c r="G351" s="747">
        <v>134</v>
      </c>
      <c r="H351" s="392">
        <f t="shared" si="9"/>
        <v>91.12</v>
      </c>
      <c r="I351" s="393">
        <f t="shared" si="10"/>
        <v>0.04</v>
      </c>
    </row>
    <row r="352" spans="1:9" ht="19.5" customHeight="1">
      <c r="A352" s="474">
        <f t="shared" si="11"/>
        <v>113</v>
      </c>
      <c r="B352" s="517" t="s">
        <v>723</v>
      </c>
      <c r="C352" s="544"/>
      <c r="D352" s="545"/>
      <c r="E352" s="486"/>
      <c r="F352" s="582" t="s">
        <v>559</v>
      </c>
      <c r="G352" s="747">
        <v>128</v>
      </c>
      <c r="H352" s="392">
        <f t="shared" si="9"/>
        <v>87.04</v>
      </c>
      <c r="I352" s="393">
        <f t="shared" si="10"/>
        <v>0.04</v>
      </c>
    </row>
    <row r="353" spans="1:9" ht="19.5" customHeight="1">
      <c r="A353" s="474">
        <f t="shared" si="11"/>
        <v>114</v>
      </c>
      <c r="B353" s="517" t="s">
        <v>723</v>
      </c>
      <c r="C353" s="544"/>
      <c r="D353" s="545"/>
      <c r="E353" s="486"/>
      <c r="F353" s="582" t="s">
        <v>559</v>
      </c>
      <c r="G353" s="747">
        <v>128</v>
      </c>
      <c r="H353" s="392">
        <f t="shared" si="9"/>
        <v>87.04</v>
      </c>
      <c r="I353" s="393">
        <f t="shared" si="10"/>
        <v>0.04</v>
      </c>
    </row>
    <row r="354" spans="1:9" ht="19.5" customHeight="1">
      <c r="A354" s="474">
        <f t="shared" si="11"/>
        <v>115</v>
      </c>
      <c r="B354" s="517" t="s">
        <v>732</v>
      </c>
      <c r="C354" s="544"/>
      <c r="D354" s="545"/>
      <c r="E354" s="486"/>
      <c r="F354" s="582" t="s">
        <v>559</v>
      </c>
      <c r="G354" s="747">
        <v>126</v>
      </c>
      <c r="H354" s="392">
        <f t="shared" si="9"/>
        <v>85.68</v>
      </c>
      <c r="I354" s="393">
        <f t="shared" si="10"/>
        <v>0.04</v>
      </c>
    </row>
    <row r="355" spans="1:9" ht="19.5" customHeight="1">
      <c r="A355" s="474">
        <f t="shared" si="11"/>
        <v>116</v>
      </c>
      <c r="B355" s="517" t="s">
        <v>723</v>
      </c>
      <c r="C355" s="544"/>
      <c r="D355" s="545"/>
      <c r="E355" s="486"/>
      <c r="F355" s="582" t="s">
        <v>559</v>
      </c>
      <c r="G355" s="747">
        <v>126</v>
      </c>
      <c r="H355" s="392">
        <f t="shared" si="9"/>
        <v>85.68</v>
      </c>
      <c r="I355" s="393">
        <f t="shared" si="10"/>
        <v>0.04</v>
      </c>
    </row>
    <row r="356" spans="1:9" ht="19.5" customHeight="1">
      <c r="A356" s="474">
        <f t="shared" si="11"/>
        <v>117</v>
      </c>
      <c r="B356" s="517" t="s">
        <v>723</v>
      </c>
      <c r="C356" s="544"/>
      <c r="D356" s="545"/>
      <c r="E356" s="486"/>
      <c r="F356" s="582" t="s">
        <v>559</v>
      </c>
      <c r="G356" s="747">
        <v>124</v>
      </c>
      <c r="H356" s="392">
        <f t="shared" si="9"/>
        <v>84.32000000000001</v>
      </c>
      <c r="I356" s="393">
        <f t="shared" si="10"/>
        <v>0.04</v>
      </c>
    </row>
    <row r="357" spans="1:9" ht="19.5" customHeight="1">
      <c r="A357" s="474">
        <f t="shared" si="11"/>
        <v>118</v>
      </c>
      <c r="B357" s="517" t="s">
        <v>723</v>
      </c>
      <c r="C357" s="544"/>
      <c r="D357" s="545"/>
      <c r="E357" s="486"/>
      <c r="F357" s="582" t="s">
        <v>559</v>
      </c>
      <c r="G357" s="747">
        <v>123</v>
      </c>
      <c r="H357" s="392">
        <f t="shared" si="9"/>
        <v>83.64</v>
      </c>
      <c r="I357" s="393">
        <f t="shared" si="10"/>
        <v>0.04</v>
      </c>
    </row>
    <row r="358" spans="1:9" ht="19.5" customHeight="1">
      <c r="A358" s="474">
        <f t="shared" si="11"/>
        <v>119</v>
      </c>
      <c r="B358" s="517" t="s">
        <v>479</v>
      </c>
      <c r="C358" s="544"/>
      <c r="D358" s="545"/>
      <c r="E358" s="486"/>
      <c r="F358" s="582" t="s">
        <v>559</v>
      </c>
      <c r="G358" s="747">
        <v>121</v>
      </c>
      <c r="H358" s="392">
        <f t="shared" si="9"/>
        <v>82.28</v>
      </c>
      <c r="I358" s="393">
        <f t="shared" si="10"/>
        <v>0.04</v>
      </c>
    </row>
    <row r="359" spans="1:9" ht="19.5" customHeight="1">
      <c r="A359" s="474">
        <f t="shared" si="11"/>
        <v>120</v>
      </c>
      <c r="B359" s="517" t="s">
        <v>732</v>
      </c>
      <c r="C359" s="544"/>
      <c r="D359" s="545"/>
      <c r="E359" s="486"/>
      <c r="F359" s="582" t="s">
        <v>559</v>
      </c>
      <c r="G359" s="747">
        <v>121</v>
      </c>
      <c r="H359" s="392">
        <f t="shared" si="9"/>
        <v>82.28</v>
      </c>
      <c r="I359" s="393">
        <f t="shared" si="10"/>
        <v>0.04</v>
      </c>
    </row>
    <row r="360" spans="1:9" ht="19.5" customHeight="1">
      <c r="A360" s="474">
        <f t="shared" si="11"/>
        <v>121</v>
      </c>
      <c r="B360" s="517" t="s">
        <v>723</v>
      </c>
      <c r="C360" s="544"/>
      <c r="D360" s="545"/>
      <c r="E360" s="486"/>
      <c r="F360" s="582" t="s">
        <v>559</v>
      </c>
      <c r="G360" s="747">
        <v>119</v>
      </c>
      <c r="H360" s="392">
        <f t="shared" si="9"/>
        <v>80.92</v>
      </c>
      <c r="I360" s="393">
        <f t="shared" si="10"/>
        <v>0.04</v>
      </c>
    </row>
    <row r="361" spans="1:9" ht="19.5" customHeight="1">
      <c r="A361" s="474">
        <f t="shared" si="11"/>
        <v>122</v>
      </c>
      <c r="B361" s="517" t="s">
        <v>723</v>
      </c>
      <c r="C361" s="544"/>
      <c r="D361" s="545"/>
      <c r="E361" s="486"/>
      <c r="F361" s="582" t="s">
        <v>559</v>
      </c>
      <c r="G361" s="747">
        <v>119</v>
      </c>
      <c r="H361" s="392">
        <f t="shared" si="9"/>
        <v>80.92</v>
      </c>
      <c r="I361" s="393">
        <f t="shared" si="10"/>
        <v>0.04</v>
      </c>
    </row>
    <row r="362" spans="1:9" ht="19.5" customHeight="1">
      <c r="A362" s="474">
        <f t="shared" si="11"/>
        <v>123</v>
      </c>
      <c r="B362" s="517" t="s">
        <v>732</v>
      </c>
      <c r="C362" s="544"/>
      <c r="D362" s="545"/>
      <c r="E362" s="486"/>
      <c r="F362" s="582" t="s">
        <v>559</v>
      </c>
      <c r="G362" s="747">
        <v>118</v>
      </c>
      <c r="H362" s="392">
        <f t="shared" si="9"/>
        <v>80.24000000000001</v>
      </c>
      <c r="I362" s="393">
        <f t="shared" si="10"/>
        <v>0.04</v>
      </c>
    </row>
    <row r="363" spans="1:9" ht="19.5" customHeight="1">
      <c r="A363" s="474">
        <f t="shared" si="11"/>
        <v>124</v>
      </c>
      <c r="B363" s="517" t="s">
        <v>723</v>
      </c>
      <c r="C363" s="544"/>
      <c r="D363" s="545"/>
      <c r="E363" s="486"/>
      <c r="F363" s="582" t="s">
        <v>559</v>
      </c>
      <c r="G363" s="747">
        <v>105</v>
      </c>
      <c r="H363" s="392">
        <f t="shared" si="9"/>
        <v>71.4</v>
      </c>
      <c r="I363" s="393">
        <f t="shared" si="10"/>
        <v>0.03</v>
      </c>
    </row>
    <row r="364" spans="1:9" ht="19.5" customHeight="1">
      <c r="A364" s="474">
        <f t="shared" si="11"/>
        <v>125</v>
      </c>
      <c r="B364" s="517" t="s">
        <v>723</v>
      </c>
      <c r="C364" s="544"/>
      <c r="D364" s="545"/>
      <c r="E364" s="486"/>
      <c r="F364" s="582" t="s">
        <v>559</v>
      </c>
      <c r="G364" s="747">
        <v>105</v>
      </c>
      <c r="H364" s="392">
        <f t="shared" si="9"/>
        <v>71.4</v>
      </c>
      <c r="I364" s="393">
        <f t="shared" si="10"/>
        <v>0.03</v>
      </c>
    </row>
    <row r="365" spans="1:9" ht="19.5" customHeight="1">
      <c r="A365" s="474">
        <f t="shared" si="11"/>
        <v>126</v>
      </c>
      <c r="B365" s="517" t="s">
        <v>732</v>
      </c>
      <c r="C365" s="544"/>
      <c r="D365" s="545"/>
      <c r="E365" s="486"/>
      <c r="F365" s="582" t="s">
        <v>559</v>
      </c>
      <c r="G365" s="747">
        <v>102</v>
      </c>
      <c r="H365" s="392">
        <f t="shared" si="9"/>
        <v>69.36</v>
      </c>
      <c r="I365" s="393">
        <f t="shared" si="10"/>
        <v>0.03</v>
      </c>
    </row>
    <row r="366" spans="1:9" ht="19.5" customHeight="1">
      <c r="A366" s="474">
        <f t="shared" si="11"/>
        <v>127</v>
      </c>
      <c r="B366" s="517" t="s">
        <v>723</v>
      </c>
      <c r="C366" s="544"/>
      <c r="D366" s="545"/>
      <c r="E366" s="486"/>
      <c r="F366" s="582" t="s">
        <v>559</v>
      </c>
      <c r="G366" s="747">
        <v>101</v>
      </c>
      <c r="H366" s="392">
        <f t="shared" si="9"/>
        <v>68.68</v>
      </c>
      <c r="I366" s="393">
        <f t="shared" si="10"/>
        <v>0.03</v>
      </c>
    </row>
    <row r="367" spans="1:9" ht="19.5" customHeight="1">
      <c r="A367" s="474">
        <f t="shared" si="11"/>
        <v>128</v>
      </c>
      <c r="B367" s="517" t="s">
        <v>723</v>
      </c>
      <c r="C367" s="544"/>
      <c r="D367" s="545"/>
      <c r="E367" s="486"/>
      <c r="F367" s="582" t="s">
        <v>559</v>
      </c>
      <c r="G367" s="747">
        <v>101</v>
      </c>
      <c r="H367" s="392">
        <f t="shared" si="9"/>
        <v>68.68</v>
      </c>
      <c r="I367" s="393">
        <f t="shared" si="10"/>
        <v>0.03</v>
      </c>
    </row>
    <row r="368" spans="1:9" ht="19.5" customHeight="1">
      <c r="A368" s="474">
        <f t="shared" si="11"/>
        <v>129</v>
      </c>
      <c r="B368" s="517" t="s">
        <v>732</v>
      </c>
      <c r="C368" s="544"/>
      <c r="D368" s="545"/>
      <c r="E368" s="486"/>
      <c r="F368" s="582" t="s">
        <v>559</v>
      </c>
      <c r="G368" s="747">
        <v>101</v>
      </c>
      <c r="H368" s="392">
        <f t="shared" si="9"/>
        <v>68.68</v>
      </c>
      <c r="I368" s="393">
        <f t="shared" si="10"/>
        <v>0.03</v>
      </c>
    </row>
    <row r="369" spans="1:9" ht="19.5" customHeight="1">
      <c r="A369" s="474">
        <f t="shared" si="11"/>
        <v>130</v>
      </c>
      <c r="B369" s="517" t="s">
        <v>723</v>
      </c>
      <c r="C369" s="544"/>
      <c r="D369" s="545"/>
      <c r="E369" s="486"/>
      <c r="F369" s="582" t="s">
        <v>559</v>
      </c>
      <c r="G369" s="747">
        <v>100</v>
      </c>
      <c r="H369" s="392">
        <f t="shared" si="9"/>
        <v>68</v>
      </c>
      <c r="I369" s="393">
        <f t="shared" si="10"/>
        <v>0.03</v>
      </c>
    </row>
    <row r="370" spans="1:9" ht="19.5" customHeight="1">
      <c r="A370" s="474">
        <f t="shared" si="11"/>
        <v>131</v>
      </c>
      <c r="B370" s="517" t="s">
        <v>723</v>
      </c>
      <c r="C370" s="544"/>
      <c r="D370" s="545"/>
      <c r="E370" s="486"/>
      <c r="F370" s="582" t="s">
        <v>559</v>
      </c>
      <c r="G370" s="747">
        <v>99</v>
      </c>
      <c r="H370" s="392">
        <f t="shared" si="9"/>
        <v>67.32000000000001</v>
      </c>
      <c r="I370" s="393">
        <f t="shared" si="10"/>
        <v>0.03</v>
      </c>
    </row>
    <row r="371" spans="1:9" ht="19.5" customHeight="1">
      <c r="A371" s="474">
        <f t="shared" si="11"/>
        <v>132</v>
      </c>
      <c r="B371" s="517" t="s">
        <v>732</v>
      </c>
      <c r="C371" s="544"/>
      <c r="D371" s="545"/>
      <c r="E371" s="486"/>
      <c r="F371" s="582" t="s">
        <v>559</v>
      </c>
      <c r="G371" s="747">
        <v>98</v>
      </c>
      <c r="H371" s="392">
        <f t="shared" si="9"/>
        <v>66.64</v>
      </c>
      <c r="I371" s="393">
        <f t="shared" si="10"/>
        <v>0.03</v>
      </c>
    </row>
    <row r="372" spans="1:9" ht="19.5" customHeight="1">
      <c r="A372" s="474">
        <f t="shared" si="11"/>
        <v>133</v>
      </c>
      <c r="B372" s="517" t="s">
        <v>732</v>
      </c>
      <c r="C372" s="544"/>
      <c r="D372" s="545"/>
      <c r="E372" s="486"/>
      <c r="F372" s="582" t="s">
        <v>559</v>
      </c>
      <c r="G372" s="747">
        <v>97</v>
      </c>
      <c r="H372" s="392">
        <f t="shared" si="9"/>
        <v>65.96000000000001</v>
      </c>
      <c r="I372" s="393">
        <f t="shared" si="10"/>
        <v>0.03</v>
      </c>
    </row>
    <row r="373" spans="1:9" ht="19.5" customHeight="1">
      <c r="A373" s="474">
        <f t="shared" si="11"/>
        <v>134</v>
      </c>
      <c r="B373" s="517" t="s">
        <v>732</v>
      </c>
      <c r="C373" s="544"/>
      <c r="D373" s="545"/>
      <c r="E373" s="486"/>
      <c r="F373" s="582" t="s">
        <v>559</v>
      </c>
      <c r="G373" s="747">
        <v>97</v>
      </c>
      <c r="H373" s="392">
        <f t="shared" si="9"/>
        <v>65.96000000000001</v>
      </c>
      <c r="I373" s="393">
        <f t="shared" si="10"/>
        <v>0.03</v>
      </c>
    </row>
    <row r="374" spans="1:9" ht="19.5" customHeight="1">
      <c r="A374" s="474">
        <f t="shared" si="11"/>
        <v>135</v>
      </c>
      <c r="B374" s="517" t="s">
        <v>723</v>
      </c>
      <c r="C374" s="544"/>
      <c r="D374" s="545"/>
      <c r="E374" s="486"/>
      <c r="F374" s="582" t="s">
        <v>559</v>
      </c>
      <c r="G374" s="747">
        <v>96</v>
      </c>
      <c r="H374" s="392">
        <f t="shared" si="9"/>
        <v>65.28</v>
      </c>
      <c r="I374" s="393">
        <f t="shared" si="10"/>
        <v>0.03</v>
      </c>
    </row>
    <row r="375" spans="1:9" ht="19.5" customHeight="1">
      <c r="A375" s="474">
        <f t="shared" si="11"/>
        <v>136</v>
      </c>
      <c r="B375" s="517" t="s">
        <v>723</v>
      </c>
      <c r="C375" s="544"/>
      <c r="D375" s="545"/>
      <c r="E375" s="486"/>
      <c r="F375" s="582" t="s">
        <v>559</v>
      </c>
      <c r="G375" s="747">
        <v>95</v>
      </c>
      <c r="H375" s="392">
        <f t="shared" si="9"/>
        <v>64.60000000000001</v>
      </c>
      <c r="I375" s="393">
        <f t="shared" si="10"/>
        <v>0.03</v>
      </c>
    </row>
    <row r="376" spans="1:9" ht="19.5" customHeight="1">
      <c r="A376" s="474">
        <f t="shared" si="11"/>
        <v>137</v>
      </c>
      <c r="B376" s="517" t="s">
        <v>723</v>
      </c>
      <c r="C376" s="544"/>
      <c r="D376" s="545"/>
      <c r="E376" s="486"/>
      <c r="F376" s="582" t="s">
        <v>559</v>
      </c>
      <c r="G376" s="747">
        <v>95</v>
      </c>
      <c r="H376" s="392">
        <f t="shared" si="9"/>
        <v>64.60000000000001</v>
      </c>
      <c r="I376" s="393">
        <f t="shared" si="10"/>
        <v>0.03</v>
      </c>
    </row>
    <row r="377" spans="1:9" ht="19.5" customHeight="1">
      <c r="A377" s="474">
        <f>+A371+1</f>
        <v>133</v>
      </c>
      <c r="B377" s="517" t="s">
        <v>723</v>
      </c>
      <c r="C377" s="544"/>
      <c r="D377" s="545"/>
      <c r="E377" s="486"/>
      <c r="F377" s="582" t="s">
        <v>559</v>
      </c>
      <c r="G377" s="747">
        <v>93</v>
      </c>
      <c r="H377" s="392">
        <f t="shared" si="9"/>
        <v>63.24</v>
      </c>
      <c r="I377" s="393">
        <f t="shared" si="10"/>
        <v>0.03</v>
      </c>
    </row>
    <row r="378" spans="1:9" ht="19.5" customHeight="1">
      <c r="A378" s="474">
        <f>+A377+1</f>
        <v>134</v>
      </c>
      <c r="B378" s="517" t="s">
        <v>723</v>
      </c>
      <c r="C378" s="544"/>
      <c r="D378" s="545"/>
      <c r="E378" s="486"/>
      <c r="F378" s="582" t="s">
        <v>559</v>
      </c>
      <c r="G378" s="747">
        <v>91</v>
      </c>
      <c r="H378" s="392">
        <f>G378*0.68</f>
        <v>61.88</v>
      </c>
      <c r="I378" s="393">
        <f>ROUND(H378/2080,2)</f>
        <v>0.03</v>
      </c>
    </row>
    <row r="379" spans="1:9" ht="19.5" customHeight="1">
      <c r="A379" s="474">
        <f aca="true" t="shared" si="12" ref="A379:A423">+A378+1</f>
        <v>135</v>
      </c>
      <c r="B379" s="517" t="s">
        <v>723</v>
      </c>
      <c r="C379" s="544"/>
      <c r="D379" s="545"/>
      <c r="E379" s="486"/>
      <c r="F379" s="582" t="s">
        <v>559</v>
      </c>
      <c r="G379" s="747">
        <v>91</v>
      </c>
      <c r="H379" s="392">
        <f aca="true" t="shared" si="13" ref="H379:H425">G379*0.68</f>
        <v>61.88</v>
      </c>
      <c r="I379" s="393">
        <f aca="true" t="shared" si="14" ref="I379:I426">ROUND(H379/2080,2)</f>
        <v>0.03</v>
      </c>
    </row>
    <row r="380" spans="1:9" ht="19.5" customHeight="1">
      <c r="A380" s="474">
        <f t="shared" si="12"/>
        <v>136</v>
      </c>
      <c r="B380" s="517" t="s">
        <v>723</v>
      </c>
      <c r="C380" s="544"/>
      <c r="D380" s="545"/>
      <c r="E380" s="486"/>
      <c r="F380" s="582" t="s">
        <v>559</v>
      </c>
      <c r="G380" s="747">
        <v>89</v>
      </c>
      <c r="H380" s="392">
        <f t="shared" si="13"/>
        <v>60.52</v>
      </c>
      <c r="I380" s="393">
        <f t="shared" si="14"/>
        <v>0.03</v>
      </c>
    </row>
    <row r="381" spans="1:9" ht="19.5" customHeight="1">
      <c r="A381" s="474">
        <f t="shared" si="12"/>
        <v>137</v>
      </c>
      <c r="B381" s="517" t="s">
        <v>723</v>
      </c>
      <c r="C381" s="544"/>
      <c r="D381" s="545"/>
      <c r="E381" s="486"/>
      <c r="F381" s="582" t="s">
        <v>559</v>
      </c>
      <c r="G381" s="747">
        <v>89</v>
      </c>
      <c r="H381" s="392">
        <f t="shared" si="13"/>
        <v>60.52</v>
      </c>
      <c r="I381" s="393">
        <f t="shared" si="14"/>
        <v>0.03</v>
      </c>
    </row>
    <row r="382" spans="1:9" ht="19.5" customHeight="1">
      <c r="A382" s="474">
        <f t="shared" si="12"/>
        <v>138</v>
      </c>
      <c r="B382" s="517" t="s">
        <v>732</v>
      </c>
      <c r="C382" s="544"/>
      <c r="D382" s="545"/>
      <c r="E382" s="486"/>
      <c r="F382" s="582" t="s">
        <v>559</v>
      </c>
      <c r="G382" s="747">
        <v>87</v>
      </c>
      <c r="H382" s="392">
        <f t="shared" si="13"/>
        <v>59.160000000000004</v>
      </c>
      <c r="I382" s="393">
        <f t="shared" si="14"/>
        <v>0.03</v>
      </c>
    </row>
    <row r="383" spans="1:9" ht="19.5" customHeight="1">
      <c r="A383" s="474">
        <f t="shared" si="12"/>
        <v>139</v>
      </c>
      <c r="B383" s="517" t="s">
        <v>732</v>
      </c>
      <c r="C383" s="544"/>
      <c r="D383" s="545"/>
      <c r="E383" s="486"/>
      <c r="F383" s="582" t="s">
        <v>559</v>
      </c>
      <c r="G383" s="747">
        <v>86</v>
      </c>
      <c r="H383" s="392">
        <f t="shared" si="13"/>
        <v>58.480000000000004</v>
      </c>
      <c r="I383" s="393">
        <f t="shared" si="14"/>
        <v>0.03</v>
      </c>
    </row>
    <row r="384" spans="1:9" ht="19.5" customHeight="1">
      <c r="A384" s="474">
        <f t="shared" si="12"/>
        <v>140</v>
      </c>
      <c r="B384" s="517" t="s">
        <v>723</v>
      </c>
      <c r="C384" s="544"/>
      <c r="D384" s="545"/>
      <c r="E384" s="486"/>
      <c r="F384" s="582" t="s">
        <v>559</v>
      </c>
      <c r="G384" s="747">
        <v>85</v>
      </c>
      <c r="H384" s="392">
        <f t="shared" si="13"/>
        <v>57.800000000000004</v>
      </c>
      <c r="I384" s="393">
        <f t="shared" si="14"/>
        <v>0.03</v>
      </c>
    </row>
    <row r="385" spans="1:9" ht="19.5" customHeight="1">
      <c r="A385" s="474">
        <f t="shared" si="12"/>
        <v>141</v>
      </c>
      <c r="B385" s="517" t="s">
        <v>723</v>
      </c>
      <c r="C385" s="544"/>
      <c r="D385" s="545"/>
      <c r="E385" s="486"/>
      <c r="F385" s="582" t="s">
        <v>559</v>
      </c>
      <c r="G385" s="747">
        <v>79</v>
      </c>
      <c r="H385" s="392">
        <f t="shared" si="13"/>
        <v>53.720000000000006</v>
      </c>
      <c r="I385" s="393">
        <f t="shared" si="14"/>
        <v>0.03</v>
      </c>
    </row>
    <row r="386" spans="1:9" ht="19.5" customHeight="1">
      <c r="A386" s="474">
        <f t="shared" si="12"/>
        <v>142</v>
      </c>
      <c r="B386" s="517" t="s">
        <v>723</v>
      </c>
      <c r="C386" s="544"/>
      <c r="D386" s="545"/>
      <c r="E386" s="486"/>
      <c r="F386" s="582" t="s">
        <v>559</v>
      </c>
      <c r="G386" s="747">
        <v>77</v>
      </c>
      <c r="H386" s="392">
        <f t="shared" si="13"/>
        <v>52.36000000000001</v>
      </c>
      <c r="I386" s="393">
        <f t="shared" si="14"/>
        <v>0.03</v>
      </c>
    </row>
    <row r="387" spans="1:9" ht="19.5" customHeight="1">
      <c r="A387" s="474">
        <f t="shared" si="12"/>
        <v>143</v>
      </c>
      <c r="B387" s="517" t="s">
        <v>723</v>
      </c>
      <c r="C387" s="544"/>
      <c r="D387" s="545"/>
      <c r="E387" s="486"/>
      <c r="F387" s="582" t="s">
        <v>559</v>
      </c>
      <c r="G387" s="747">
        <v>73</v>
      </c>
      <c r="H387" s="392">
        <f t="shared" si="13"/>
        <v>49.64</v>
      </c>
      <c r="I387" s="393">
        <f t="shared" si="14"/>
        <v>0.02</v>
      </c>
    </row>
    <row r="388" spans="1:9" ht="19.5" customHeight="1">
      <c r="A388" s="474">
        <f t="shared" si="12"/>
        <v>144</v>
      </c>
      <c r="B388" s="517" t="s">
        <v>732</v>
      </c>
      <c r="C388" s="544"/>
      <c r="D388" s="545"/>
      <c r="E388" s="486"/>
      <c r="F388" s="582" t="s">
        <v>559</v>
      </c>
      <c r="G388" s="747">
        <v>72</v>
      </c>
      <c r="H388" s="392">
        <f t="shared" si="13"/>
        <v>48.96</v>
      </c>
      <c r="I388" s="393">
        <f t="shared" si="14"/>
        <v>0.02</v>
      </c>
    </row>
    <row r="389" spans="1:9" ht="19.5" customHeight="1">
      <c r="A389" s="474">
        <f t="shared" si="12"/>
        <v>145</v>
      </c>
      <c r="B389" s="517" t="s">
        <v>732</v>
      </c>
      <c r="C389" s="544"/>
      <c r="D389" s="545"/>
      <c r="E389" s="486"/>
      <c r="F389" s="582" t="s">
        <v>559</v>
      </c>
      <c r="G389" s="747">
        <v>72</v>
      </c>
      <c r="H389" s="392">
        <f t="shared" si="13"/>
        <v>48.96</v>
      </c>
      <c r="I389" s="393">
        <f t="shared" si="14"/>
        <v>0.02</v>
      </c>
    </row>
    <row r="390" spans="1:9" ht="19.5" customHeight="1">
      <c r="A390" s="474">
        <f t="shared" si="12"/>
        <v>146</v>
      </c>
      <c r="B390" s="517" t="s">
        <v>732</v>
      </c>
      <c r="C390" s="544"/>
      <c r="D390" s="545"/>
      <c r="E390" s="486"/>
      <c r="F390" s="582" t="s">
        <v>559</v>
      </c>
      <c r="G390" s="747">
        <v>69</v>
      </c>
      <c r="H390" s="392">
        <f t="shared" si="13"/>
        <v>46.92</v>
      </c>
      <c r="I390" s="393">
        <f t="shared" si="14"/>
        <v>0.02</v>
      </c>
    </row>
    <row r="391" spans="1:9" ht="19.5" customHeight="1">
      <c r="A391" s="474">
        <f t="shared" si="12"/>
        <v>147</v>
      </c>
      <c r="B391" s="517" t="s">
        <v>732</v>
      </c>
      <c r="C391" s="544"/>
      <c r="D391" s="545"/>
      <c r="E391" s="486"/>
      <c r="F391" s="582" t="s">
        <v>559</v>
      </c>
      <c r="G391" s="747">
        <v>68</v>
      </c>
      <c r="H391" s="392">
        <f t="shared" si="13"/>
        <v>46.24</v>
      </c>
      <c r="I391" s="393">
        <f t="shared" si="14"/>
        <v>0.02</v>
      </c>
    </row>
    <row r="392" spans="1:9" ht="19.5" customHeight="1">
      <c r="A392" s="474">
        <f t="shared" si="12"/>
        <v>148</v>
      </c>
      <c r="B392" s="517" t="s">
        <v>732</v>
      </c>
      <c r="C392" s="544"/>
      <c r="D392" s="545"/>
      <c r="E392" s="486"/>
      <c r="F392" s="582" t="s">
        <v>559</v>
      </c>
      <c r="G392" s="747">
        <v>68</v>
      </c>
      <c r="H392" s="392">
        <f t="shared" si="13"/>
        <v>46.24</v>
      </c>
      <c r="I392" s="393">
        <f t="shared" si="14"/>
        <v>0.02</v>
      </c>
    </row>
    <row r="393" spans="1:9" ht="19.5" customHeight="1">
      <c r="A393" s="474">
        <f t="shared" si="12"/>
        <v>149</v>
      </c>
      <c r="B393" s="517" t="s">
        <v>732</v>
      </c>
      <c r="C393" s="544"/>
      <c r="D393" s="545"/>
      <c r="E393" s="486"/>
      <c r="F393" s="582" t="s">
        <v>559</v>
      </c>
      <c r="G393" s="747">
        <v>68</v>
      </c>
      <c r="H393" s="392">
        <f t="shared" si="13"/>
        <v>46.24</v>
      </c>
      <c r="I393" s="393">
        <f t="shared" si="14"/>
        <v>0.02</v>
      </c>
    </row>
    <row r="394" spans="1:9" ht="19.5" customHeight="1">
      <c r="A394" s="474">
        <f t="shared" si="12"/>
        <v>150</v>
      </c>
      <c r="B394" s="517" t="s">
        <v>723</v>
      </c>
      <c r="C394" s="544"/>
      <c r="D394" s="545"/>
      <c r="E394" s="486"/>
      <c r="F394" s="582" t="s">
        <v>559</v>
      </c>
      <c r="G394" s="747">
        <v>62</v>
      </c>
      <c r="H394" s="392">
        <f t="shared" si="13"/>
        <v>42.160000000000004</v>
      </c>
      <c r="I394" s="393">
        <f t="shared" si="14"/>
        <v>0.02</v>
      </c>
    </row>
    <row r="395" spans="1:9" ht="19.5" customHeight="1">
      <c r="A395" s="474">
        <f t="shared" si="12"/>
        <v>151</v>
      </c>
      <c r="B395" s="517" t="s">
        <v>723</v>
      </c>
      <c r="C395" s="544"/>
      <c r="D395" s="545"/>
      <c r="E395" s="486"/>
      <c r="F395" s="582" t="s">
        <v>559</v>
      </c>
      <c r="G395" s="747">
        <v>62</v>
      </c>
      <c r="H395" s="392">
        <f t="shared" si="13"/>
        <v>42.160000000000004</v>
      </c>
      <c r="I395" s="393">
        <f t="shared" si="14"/>
        <v>0.02</v>
      </c>
    </row>
    <row r="396" spans="1:9" ht="19.5" customHeight="1">
      <c r="A396" s="474">
        <f t="shared" si="12"/>
        <v>152</v>
      </c>
      <c r="B396" s="517" t="s">
        <v>723</v>
      </c>
      <c r="C396" s="544"/>
      <c r="D396" s="545"/>
      <c r="E396" s="486"/>
      <c r="F396" s="582" t="s">
        <v>559</v>
      </c>
      <c r="G396" s="747">
        <v>57</v>
      </c>
      <c r="H396" s="392">
        <f t="shared" si="13"/>
        <v>38.760000000000005</v>
      </c>
      <c r="I396" s="393">
        <f t="shared" si="14"/>
        <v>0.02</v>
      </c>
    </row>
    <row r="397" spans="1:9" ht="19.5" customHeight="1">
      <c r="A397" s="474">
        <f t="shared" si="12"/>
        <v>153</v>
      </c>
      <c r="B397" s="517" t="s">
        <v>732</v>
      </c>
      <c r="C397" s="544"/>
      <c r="D397" s="545"/>
      <c r="E397" s="486"/>
      <c r="F397" s="582" t="s">
        <v>559</v>
      </c>
      <c r="G397" s="747">
        <v>54</v>
      </c>
      <c r="H397" s="392">
        <f t="shared" si="13"/>
        <v>36.720000000000006</v>
      </c>
      <c r="I397" s="393">
        <f t="shared" si="14"/>
        <v>0.02</v>
      </c>
    </row>
    <row r="398" spans="1:9" ht="19.5" customHeight="1">
      <c r="A398" s="474">
        <f t="shared" si="12"/>
        <v>154</v>
      </c>
      <c r="B398" s="517" t="s">
        <v>723</v>
      </c>
      <c r="C398" s="544"/>
      <c r="D398" s="545"/>
      <c r="E398" s="486"/>
      <c r="F398" s="582" t="s">
        <v>559</v>
      </c>
      <c r="G398" s="747">
        <v>50</v>
      </c>
      <c r="H398" s="392">
        <f t="shared" si="13"/>
        <v>34</v>
      </c>
      <c r="I398" s="393">
        <f t="shared" si="14"/>
        <v>0.02</v>
      </c>
    </row>
    <row r="399" spans="1:9" ht="19.5" customHeight="1">
      <c r="A399" s="474">
        <f t="shared" si="12"/>
        <v>155</v>
      </c>
      <c r="B399" s="517" t="s">
        <v>732</v>
      </c>
      <c r="C399" s="544"/>
      <c r="D399" s="545"/>
      <c r="E399" s="486"/>
      <c r="F399" s="582" t="s">
        <v>559</v>
      </c>
      <c r="G399" s="747">
        <v>49</v>
      </c>
      <c r="H399" s="392">
        <f t="shared" si="13"/>
        <v>33.32</v>
      </c>
      <c r="I399" s="393">
        <f t="shared" si="14"/>
        <v>0.02</v>
      </c>
    </row>
    <row r="400" spans="1:9" ht="19.5" customHeight="1">
      <c r="A400" s="474">
        <f t="shared" si="12"/>
        <v>156</v>
      </c>
      <c r="B400" s="517" t="s">
        <v>732</v>
      </c>
      <c r="C400" s="544"/>
      <c r="D400" s="545"/>
      <c r="E400" s="486"/>
      <c r="F400" s="582" t="s">
        <v>559</v>
      </c>
      <c r="G400" s="747">
        <v>47</v>
      </c>
      <c r="H400" s="392">
        <f t="shared" si="13"/>
        <v>31.96</v>
      </c>
      <c r="I400" s="393">
        <f t="shared" si="14"/>
        <v>0.02</v>
      </c>
    </row>
    <row r="401" spans="1:9" ht="19.5" customHeight="1">
      <c r="A401" s="474">
        <f t="shared" si="12"/>
        <v>157</v>
      </c>
      <c r="B401" s="517" t="s">
        <v>732</v>
      </c>
      <c r="C401" s="544"/>
      <c r="D401" s="545"/>
      <c r="E401" s="486"/>
      <c r="F401" s="582" t="s">
        <v>559</v>
      </c>
      <c r="G401" s="747">
        <v>44</v>
      </c>
      <c r="H401" s="392">
        <f t="shared" si="13"/>
        <v>29.92</v>
      </c>
      <c r="I401" s="393">
        <f t="shared" si="14"/>
        <v>0.01</v>
      </c>
    </row>
    <row r="402" spans="1:9" ht="19.5" customHeight="1">
      <c r="A402" s="474">
        <f t="shared" si="12"/>
        <v>158</v>
      </c>
      <c r="B402" s="517" t="s">
        <v>723</v>
      </c>
      <c r="C402" s="544"/>
      <c r="D402" s="545"/>
      <c r="E402" s="486"/>
      <c r="F402" s="582" t="s">
        <v>559</v>
      </c>
      <c r="G402" s="747">
        <v>41</v>
      </c>
      <c r="H402" s="392">
        <f t="shared" si="13"/>
        <v>27.880000000000003</v>
      </c>
      <c r="I402" s="393">
        <f t="shared" si="14"/>
        <v>0.01</v>
      </c>
    </row>
    <row r="403" spans="1:9" ht="19.5" customHeight="1">
      <c r="A403" s="474">
        <f t="shared" si="12"/>
        <v>159</v>
      </c>
      <c r="B403" s="517" t="s">
        <v>732</v>
      </c>
      <c r="C403" s="544"/>
      <c r="D403" s="545"/>
      <c r="E403" s="486"/>
      <c r="F403" s="582" t="s">
        <v>559</v>
      </c>
      <c r="G403" s="747">
        <v>36</v>
      </c>
      <c r="H403" s="392">
        <f t="shared" si="13"/>
        <v>24.48</v>
      </c>
      <c r="I403" s="393">
        <f t="shared" si="14"/>
        <v>0.01</v>
      </c>
    </row>
    <row r="404" spans="1:9" ht="19.5" customHeight="1">
      <c r="A404" s="474">
        <f t="shared" si="12"/>
        <v>160</v>
      </c>
      <c r="B404" s="517" t="s">
        <v>723</v>
      </c>
      <c r="C404" s="544"/>
      <c r="D404" s="545"/>
      <c r="E404" s="486"/>
      <c r="F404" s="582" t="s">
        <v>559</v>
      </c>
      <c r="G404" s="747">
        <v>34</v>
      </c>
      <c r="H404" s="392">
        <f t="shared" si="13"/>
        <v>23.12</v>
      </c>
      <c r="I404" s="393">
        <f t="shared" si="14"/>
        <v>0.01</v>
      </c>
    </row>
    <row r="405" spans="1:9" ht="19.5" customHeight="1">
      <c r="A405" s="474">
        <f t="shared" si="12"/>
        <v>161</v>
      </c>
      <c r="B405" s="517" t="s">
        <v>732</v>
      </c>
      <c r="C405" s="544"/>
      <c r="D405" s="545"/>
      <c r="E405" s="486"/>
      <c r="F405" s="582" t="s">
        <v>559</v>
      </c>
      <c r="G405" s="747">
        <v>34</v>
      </c>
      <c r="H405" s="392">
        <f t="shared" si="13"/>
        <v>23.12</v>
      </c>
      <c r="I405" s="393">
        <f t="shared" si="14"/>
        <v>0.01</v>
      </c>
    </row>
    <row r="406" spans="1:9" ht="19.5" customHeight="1">
      <c r="A406" s="474">
        <f t="shared" si="12"/>
        <v>162</v>
      </c>
      <c r="B406" s="517" t="s">
        <v>732</v>
      </c>
      <c r="C406" s="544"/>
      <c r="D406" s="545"/>
      <c r="E406" s="486"/>
      <c r="F406" s="582" t="s">
        <v>559</v>
      </c>
      <c r="G406" s="747">
        <v>32</v>
      </c>
      <c r="H406" s="392">
        <f t="shared" si="13"/>
        <v>21.76</v>
      </c>
      <c r="I406" s="393">
        <f t="shared" si="14"/>
        <v>0.01</v>
      </c>
    </row>
    <row r="407" spans="1:9" ht="19.5" customHeight="1">
      <c r="A407" s="474">
        <f t="shared" si="12"/>
        <v>163</v>
      </c>
      <c r="B407" s="517" t="s">
        <v>732</v>
      </c>
      <c r="C407" s="544"/>
      <c r="D407" s="545"/>
      <c r="E407" s="486"/>
      <c r="F407" s="582" t="s">
        <v>559</v>
      </c>
      <c r="G407" s="747">
        <v>31</v>
      </c>
      <c r="H407" s="392">
        <f t="shared" si="13"/>
        <v>21.080000000000002</v>
      </c>
      <c r="I407" s="393">
        <f t="shared" si="14"/>
        <v>0.01</v>
      </c>
    </row>
    <row r="408" spans="1:9" ht="19.5" customHeight="1">
      <c r="A408" s="474">
        <f t="shared" si="12"/>
        <v>164</v>
      </c>
      <c r="B408" s="517" t="s">
        <v>732</v>
      </c>
      <c r="C408" s="544"/>
      <c r="D408" s="545"/>
      <c r="E408" s="486"/>
      <c r="F408" s="582" t="s">
        <v>559</v>
      </c>
      <c r="G408" s="747">
        <v>31</v>
      </c>
      <c r="H408" s="392">
        <f t="shared" si="13"/>
        <v>21.080000000000002</v>
      </c>
      <c r="I408" s="393">
        <f t="shared" si="14"/>
        <v>0.01</v>
      </c>
    </row>
    <row r="409" spans="1:9" ht="19.5" customHeight="1">
      <c r="A409" s="474">
        <f t="shared" si="12"/>
        <v>165</v>
      </c>
      <c r="B409" s="517" t="s">
        <v>732</v>
      </c>
      <c r="C409" s="544"/>
      <c r="D409" s="545"/>
      <c r="E409" s="486"/>
      <c r="F409" s="582" t="s">
        <v>559</v>
      </c>
      <c r="G409" s="747">
        <v>26</v>
      </c>
      <c r="H409" s="392">
        <f t="shared" si="13"/>
        <v>17.68</v>
      </c>
      <c r="I409" s="393">
        <f t="shared" si="14"/>
        <v>0.01</v>
      </c>
    </row>
    <row r="410" spans="1:9" ht="19.5" customHeight="1">
      <c r="A410" s="474">
        <f t="shared" si="12"/>
        <v>166</v>
      </c>
      <c r="B410" s="517" t="s">
        <v>732</v>
      </c>
      <c r="C410" s="544"/>
      <c r="D410" s="545"/>
      <c r="E410" s="486"/>
      <c r="F410" s="582" t="s">
        <v>559</v>
      </c>
      <c r="G410" s="747">
        <v>25</v>
      </c>
      <c r="H410" s="392">
        <f t="shared" si="13"/>
        <v>17</v>
      </c>
      <c r="I410" s="393">
        <f t="shared" si="14"/>
        <v>0.01</v>
      </c>
    </row>
    <row r="411" spans="1:9" ht="19.5" customHeight="1">
      <c r="A411" s="474">
        <f t="shared" si="12"/>
        <v>167</v>
      </c>
      <c r="B411" s="517" t="s">
        <v>732</v>
      </c>
      <c r="C411" s="544"/>
      <c r="D411" s="545"/>
      <c r="E411" s="486"/>
      <c r="F411" s="582" t="s">
        <v>559</v>
      </c>
      <c r="G411" s="747">
        <v>25</v>
      </c>
      <c r="H411" s="392">
        <f t="shared" si="13"/>
        <v>17</v>
      </c>
      <c r="I411" s="393">
        <f t="shared" si="14"/>
        <v>0.01</v>
      </c>
    </row>
    <row r="412" spans="1:9" ht="19.5" customHeight="1">
      <c r="A412" s="474">
        <f t="shared" si="12"/>
        <v>168</v>
      </c>
      <c r="B412" s="517" t="s">
        <v>732</v>
      </c>
      <c r="C412" s="544"/>
      <c r="D412" s="545"/>
      <c r="E412" s="486"/>
      <c r="F412" s="582" t="s">
        <v>559</v>
      </c>
      <c r="G412" s="747">
        <v>24</v>
      </c>
      <c r="H412" s="392">
        <f t="shared" si="13"/>
        <v>16.32</v>
      </c>
      <c r="I412" s="393">
        <f t="shared" si="14"/>
        <v>0.01</v>
      </c>
    </row>
    <row r="413" spans="1:9" ht="19.5" customHeight="1">
      <c r="A413" s="474">
        <f t="shared" si="12"/>
        <v>169</v>
      </c>
      <c r="B413" s="517" t="s">
        <v>723</v>
      </c>
      <c r="C413" s="544"/>
      <c r="D413" s="545"/>
      <c r="E413" s="486"/>
      <c r="F413" s="582" t="s">
        <v>559</v>
      </c>
      <c r="G413" s="747">
        <v>21</v>
      </c>
      <c r="H413" s="392">
        <f t="shared" si="13"/>
        <v>14.280000000000001</v>
      </c>
      <c r="I413" s="393">
        <f t="shared" si="14"/>
        <v>0.01</v>
      </c>
    </row>
    <row r="414" spans="1:9" ht="19.5" customHeight="1">
      <c r="A414" s="474">
        <f t="shared" si="12"/>
        <v>170</v>
      </c>
      <c r="B414" s="517" t="s">
        <v>723</v>
      </c>
      <c r="C414" s="544"/>
      <c r="D414" s="545"/>
      <c r="E414" s="486"/>
      <c r="F414" s="582" t="s">
        <v>559</v>
      </c>
      <c r="G414" s="747">
        <v>17</v>
      </c>
      <c r="H414" s="392">
        <f t="shared" si="13"/>
        <v>11.56</v>
      </c>
      <c r="I414" s="393">
        <f t="shared" si="14"/>
        <v>0.01</v>
      </c>
    </row>
    <row r="415" spans="1:9" ht="19.5" customHeight="1">
      <c r="A415" s="474">
        <f t="shared" si="12"/>
        <v>171</v>
      </c>
      <c r="B415" s="517" t="s">
        <v>745</v>
      </c>
      <c r="C415" s="544"/>
      <c r="D415" s="545"/>
      <c r="E415" s="486"/>
      <c r="F415" s="582" t="s">
        <v>559</v>
      </c>
      <c r="G415" s="747">
        <v>16</v>
      </c>
      <c r="H415" s="392">
        <f t="shared" si="13"/>
        <v>10.88</v>
      </c>
      <c r="I415" s="393">
        <f t="shared" si="14"/>
        <v>0.01</v>
      </c>
    </row>
    <row r="416" spans="1:9" ht="19.5" customHeight="1">
      <c r="A416" s="474">
        <f t="shared" si="12"/>
        <v>172</v>
      </c>
      <c r="B416" s="517" t="s">
        <v>723</v>
      </c>
      <c r="C416" s="544"/>
      <c r="D416" s="545"/>
      <c r="E416" s="486"/>
      <c r="F416" s="582" t="s">
        <v>559</v>
      </c>
      <c r="G416" s="747">
        <v>15</v>
      </c>
      <c r="H416" s="392">
        <f t="shared" si="13"/>
        <v>10.200000000000001</v>
      </c>
      <c r="I416" s="393">
        <f t="shared" si="14"/>
        <v>0</v>
      </c>
    </row>
    <row r="417" spans="1:9" ht="19.5" customHeight="1">
      <c r="A417" s="474">
        <f t="shared" si="12"/>
        <v>173</v>
      </c>
      <c r="B417" s="517" t="s">
        <v>732</v>
      </c>
      <c r="C417" s="544"/>
      <c r="D417" s="545"/>
      <c r="E417" s="486"/>
      <c r="F417" s="582" t="s">
        <v>559</v>
      </c>
      <c r="G417" s="747">
        <v>14</v>
      </c>
      <c r="H417" s="392">
        <f t="shared" si="13"/>
        <v>9.520000000000001</v>
      </c>
      <c r="I417" s="393">
        <f t="shared" si="14"/>
        <v>0</v>
      </c>
    </row>
    <row r="418" spans="1:9" ht="19.5" customHeight="1">
      <c r="A418" s="474">
        <f t="shared" si="12"/>
        <v>174</v>
      </c>
      <c r="B418" s="517" t="s">
        <v>478</v>
      </c>
      <c r="C418" s="544"/>
      <c r="D418" s="545"/>
      <c r="E418" s="486"/>
      <c r="F418" s="582" t="s">
        <v>559</v>
      </c>
      <c r="G418" s="747">
        <v>14</v>
      </c>
      <c r="H418" s="392">
        <f t="shared" si="13"/>
        <v>9.520000000000001</v>
      </c>
      <c r="I418" s="393">
        <f t="shared" si="14"/>
        <v>0</v>
      </c>
    </row>
    <row r="419" spans="1:9" ht="19.5" customHeight="1">
      <c r="A419" s="474">
        <f t="shared" si="12"/>
        <v>175</v>
      </c>
      <c r="B419" s="517" t="s">
        <v>732</v>
      </c>
      <c r="C419" s="544"/>
      <c r="D419" s="545"/>
      <c r="E419" s="486"/>
      <c r="F419" s="582" t="s">
        <v>559</v>
      </c>
      <c r="G419" s="747">
        <v>13</v>
      </c>
      <c r="H419" s="392">
        <f t="shared" si="13"/>
        <v>8.84</v>
      </c>
      <c r="I419" s="393">
        <f t="shared" si="14"/>
        <v>0</v>
      </c>
    </row>
    <row r="420" spans="1:9" ht="19.5" customHeight="1">
      <c r="A420" s="474">
        <f t="shared" si="12"/>
        <v>176</v>
      </c>
      <c r="B420" s="517" t="s">
        <v>732</v>
      </c>
      <c r="C420" s="544"/>
      <c r="D420" s="545"/>
      <c r="E420" s="486"/>
      <c r="F420" s="582" t="s">
        <v>559</v>
      </c>
      <c r="G420" s="747">
        <v>11</v>
      </c>
      <c r="H420" s="392">
        <f t="shared" si="13"/>
        <v>7.48</v>
      </c>
      <c r="I420" s="393">
        <f t="shared" si="14"/>
        <v>0</v>
      </c>
    </row>
    <row r="421" spans="1:9" ht="19.5" customHeight="1">
      <c r="A421" s="474">
        <f t="shared" si="12"/>
        <v>177</v>
      </c>
      <c r="B421" s="517" t="s">
        <v>478</v>
      </c>
      <c r="C421" s="544"/>
      <c r="D421" s="545"/>
      <c r="E421" s="486"/>
      <c r="F421" s="582" t="s">
        <v>559</v>
      </c>
      <c r="G421" s="747">
        <v>6</v>
      </c>
      <c r="H421" s="392">
        <f t="shared" si="13"/>
        <v>4.08</v>
      </c>
      <c r="I421" s="393">
        <f t="shared" si="14"/>
        <v>0</v>
      </c>
    </row>
    <row r="422" spans="1:9" ht="19.5" customHeight="1">
      <c r="A422" s="474">
        <f t="shared" si="12"/>
        <v>178</v>
      </c>
      <c r="B422" s="517" t="s">
        <v>478</v>
      </c>
      <c r="C422" s="544"/>
      <c r="D422" s="545"/>
      <c r="E422" s="486"/>
      <c r="F422" s="582" t="s">
        <v>559</v>
      </c>
      <c r="G422" s="747">
        <v>6</v>
      </c>
      <c r="H422" s="392">
        <f t="shared" si="13"/>
        <v>4.08</v>
      </c>
      <c r="I422" s="393">
        <f t="shared" si="14"/>
        <v>0</v>
      </c>
    </row>
    <row r="423" spans="1:9" ht="19.5" customHeight="1">
      <c r="A423" s="474">
        <f t="shared" si="12"/>
        <v>179</v>
      </c>
      <c r="B423" s="517" t="s">
        <v>723</v>
      </c>
      <c r="C423" s="544"/>
      <c r="D423" s="545"/>
      <c r="E423" s="486"/>
      <c r="F423" s="582" t="s">
        <v>559</v>
      </c>
      <c r="G423" s="747">
        <v>4</v>
      </c>
      <c r="H423" s="392">
        <f t="shared" si="13"/>
        <v>2.72</v>
      </c>
      <c r="I423" s="393">
        <f t="shared" si="14"/>
        <v>0</v>
      </c>
    </row>
    <row r="424" spans="1:9" ht="19.5" customHeight="1">
      <c r="A424" s="474">
        <v>180</v>
      </c>
      <c r="B424" s="517" t="s">
        <v>732</v>
      </c>
      <c r="C424" s="544"/>
      <c r="D424" s="545"/>
      <c r="E424" s="486"/>
      <c r="F424" s="582" t="s">
        <v>559</v>
      </c>
      <c r="G424" s="747">
        <v>3</v>
      </c>
      <c r="H424" s="392">
        <f t="shared" si="13"/>
        <v>2.04</v>
      </c>
      <c r="I424" s="393">
        <f t="shared" si="14"/>
        <v>0</v>
      </c>
    </row>
    <row r="425" spans="1:9" ht="19.5" customHeight="1">
      <c r="A425" s="474">
        <v>181</v>
      </c>
      <c r="B425" s="517" t="s">
        <v>732</v>
      </c>
      <c r="C425" s="544"/>
      <c r="D425" s="545"/>
      <c r="E425" s="486"/>
      <c r="F425" s="582" t="s">
        <v>559</v>
      </c>
      <c r="G425" s="747">
        <v>3</v>
      </c>
      <c r="H425" s="392">
        <f t="shared" si="13"/>
        <v>2.04</v>
      </c>
      <c r="I425" s="393">
        <f t="shared" si="14"/>
        <v>0</v>
      </c>
    </row>
    <row r="426" spans="1:9" ht="19.5" customHeight="1" thickBot="1">
      <c r="A426" s="293"/>
      <c r="B426" s="957" t="s">
        <v>277</v>
      </c>
      <c r="C426" s="958"/>
      <c r="D426" s="959"/>
      <c r="E426" s="380"/>
      <c r="F426" s="473"/>
      <c r="G426" s="473">
        <f>SUM(G292:G425)</f>
        <v>58800</v>
      </c>
      <c r="H426" s="473">
        <f>SUM(H292:H425)</f>
        <v>39983.99999999999</v>
      </c>
      <c r="I426" s="395">
        <f t="shared" si="14"/>
        <v>19.22</v>
      </c>
    </row>
    <row r="427" spans="1:9" ht="19.5" customHeight="1" thickTop="1">
      <c r="A427" s="293"/>
      <c r="B427" s="375"/>
      <c r="C427" s="375"/>
      <c r="D427" s="375"/>
      <c r="E427" s="297"/>
      <c r="F427" s="368"/>
      <c r="G427" s="294"/>
      <c r="H427" s="295"/>
      <c r="I427" s="396"/>
    </row>
    <row r="428" spans="1:9" ht="19.5" customHeight="1">
      <c r="A428" s="207" t="s">
        <v>75</v>
      </c>
      <c r="B428" s="971" t="s">
        <v>345</v>
      </c>
      <c r="C428" s="972"/>
      <c r="D428" s="973"/>
      <c r="E428" s="527"/>
      <c r="F428" s="338"/>
      <c r="G428" s="338"/>
      <c r="H428" s="390"/>
      <c r="I428" s="391"/>
    </row>
    <row r="429" spans="1:9" ht="19.5" customHeight="1">
      <c r="A429" s="474">
        <v>1</v>
      </c>
      <c r="B429" s="543" t="s">
        <v>762</v>
      </c>
      <c r="C429" s="605"/>
      <c r="D429" s="606"/>
      <c r="E429" s="748" t="s">
        <v>760</v>
      </c>
      <c r="F429" s="748">
        <v>89327.0810549277</v>
      </c>
      <c r="G429" s="748">
        <v>150</v>
      </c>
      <c r="H429" s="1051">
        <v>2080</v>
      </c>
      <c r="I429" s="393">
        <f aca="true" t="shared" si="15" ref="I429:I453">ROUND(H429/2080,2)</f>
        <v>1</v>
      </c>
    </row>
    <row r="430" spans="1:9" ht="19.5" customHeight="1">
      <c r="A430" s="474">
        <v>2</v>
      </c>
      <c r="B430" s="543" t="s">
        <v>762</v>
      </c>
      <c r="C430" s="605"/>
      <c r="D430" s="606"/>
      <c r="E430" s="749" t="s">
        <v>761</v>
      </c>
      <c r="F430" s="749">
        <v>49840.2422623802</v>
      </c>
      <c r="G430" s="749">
        <v>676</v>
      </c>
      <c r="H430" s="749">
        <v>1664</v>
      </c>
      <c r="I430" s="393">
        <f t="shared" si="15"/>
        <v>0.8</v>
      </c>
    </row>
    <row r="431" spans="1:9" ht="19.5" customHeight="1">
      <c r="A431" s="474">
        <v>3</v>
      </c>
      <c r="B431" s="543" t="s">
        <v>762</v>
      </c>
      <c r="C431" s="605"/>
      <c r="D431" s="606"/>
      <c r="E431" s="749" t="s">
        <v>759</v>
      </c>
      <c r="F431" s="749">
        <v>125890.944068214</v>
      </c>
      <c r="G431" s="749">
        <v>1192</v>
      </c>
      <c r="H431" s="749">
        <v>1112</v>
      </c>
      <c r="I431" s="393">
        <f t="shared" si="15"/>
        <v>0.53</v>
      </c>
    </row>
    <row r="432" spans="1:11" ht="19.5" customHeight="1">
      <c r="A432" s="474">
        <v>4</v>
      </c>
      <c r="B432" s="543" t="s">
        <v>762</v>
      </c>
      <c r="C432" s="605"/>
      <c r="D432" s="606"/>
      <c r="E432" s="749" t="s">
        <v>479</v>
      </c>
      <c r="F432" s="749">
        <v>42187.9187044467</v>
      </c>
      <c r="G432" s="749"/>
      <c r="H432" s="749">
        <v>2080</v>
      </c>
      <c r="I432" s="393">
        <f t="shared" si="15"/>
        <v>1</v>
      </c>
      <c r="K432" s="620" t="s">
        <v>581</v>
      </c>
    </row>
    <row r="433" spans="1:9" ht="19.5" customHeight="1">
      <c r="A433" s="474">
        <v>5</v>
      </c>
      <c r="B433" s="543" t="s">
        <v>762</v>
      </c>
      <c r="C433" s="605"/>
      <c r="D433" s="606"/>
      <c r="E433" s="749" t="s">
        <v>761</v>
      </c>
      <c r="F433" s="749">
        <v>35817.6183159715</v>
      </c>
      <c r="G433" s="749">
        <v>977</v>
      </c>
      <c r="H433" s="749">
        <v>1040</v>
      </c>
      <c r="I433" s="393">
        <f t="shared" si="15"/>
        <v>0.5</v>
      </c>
    </row>
    <row r="434" spans="1:9" ht="19.5" customHeight="1">
      <c r="A434" s="474">
        <v>6</v>
      </c>
      <c r="B434" s="543" t="s">
        <v>762</v>
      </c>
      <c r="C434" s="605"/>
      <c r="D434" s="606"/>
      <c r="E434" s="749" t="s">
        <v>759</v>
      </c>
      <c r="F434" s="749">
        <v>45846.2998498264</v>
      </c>
      <c r="G434" s="749">
        <v>551</v>
      </c>
      <c r="H434" s="749">
        <v>389</v>
      </c>
      <c r="I434" s="393">
        <f t="shared" si="15"/>
        <v>0.19</v>
      </c>
    </row>
    <row r="435" spans="1:9" ht="19.5" customHeight="1">
      <c r="A435" s="474">
        <v>7</v>
      </c>
      <c r="B435" s="543" t="s">
        <v>762</v>
      </c>
      <c r="C435" s="605"/>
      <c r="D435" s="606"/>
      <c r="E435" s="749" t="s">
        <v>761</v>
      </c>
      <c r="F435" s="749">
        <v>41526.1088349292</v>
      </c>
      <c r="G435" s="749">
        <v>1040</v>
      </c>
      <c r="H435" s="749">
        <v>1248</v>
      </c>
      <c r="I435" s="393">
        <f t="shared" si="15"/>
        <v>0.6</v>
      </c>
    </row>
    <row r="436" spans="1:9" ht="19.5" customHeight="1">
      <c r="A436" s="474">
        <v>8</v>
      </c>
      <c r="B436" s="543" t="s">
        <v>762</v>
      </c>
      <c r="C436" s="605"/>
      <c r="D436" s="606"/>
      <c r="E436" s="749" t="s">
        <v>742</v>
      </c>
      <c r="F436" s="749">
        <v>40560.472003092</v>
      </c>
      <c r="G436" s="749">
        <v>23</v>
      </c>
      <c r="H436" s="749">
        <v>2080</v>
      </c>
      <c r="I436" s="393">
        <f t="shared" si="15"/>
        <v>1</v>
      </c>
    </row>
    <row r="437" spans="1:9" ht="19.5" customHeight="1">
      <c r="A437" s="474">
        <v>9</v>
      </c>
      <c r="B437" s="543" t="s">
        <v>762</v>
      </c>
      <c r="C437" s="605"/>
      <c r="D437" s="606"/>
      <c r="E437" s="749" t="s">
        <v>479</v>
      </c>
      <c r="F437" s="749">
        <v>51119.5832663206</v>
      </c>
      <c r="G437" s="749"/>
      <c r="H437" s="749">
        <v>2080</v>
      </c>
      <c r="I437" s="393">
        <f t="shared" si="15"/>
        <v>1</v>
      </c>
    </row>
    <row r="438" spans="1:9" ht="19.5" customHeight="1">
      <c r="A438" s="474">
        <v>10</v>
      </c>
      <c r="B438" s="543" t="s">
        <v>762</v>
      </c>
      <c r="C438" s="605"/>
      <c r="D438" s="606"/>
      <c r="E438" s="749" t="s">
        <v>761</v>
      </c>
      <c r="F438" s="749">
        <v>36798.7660780838</v>
      </c>
      <c r="G438" s="749">
        <v>504</v>
      </c>
      <c r="H438" s="749">
        <v>1560</v>
      </c>
      <c r="I438" s="393">
        <f t="shared" si="15"/>
        <v>0.75</v>
      </c>
    </row>
    <row r="439" spans="1:9" ht="19.5" customHeight="1">
      <c r="A439" s="474">
        <v>11</v>
      </c>
      <c r="B439" s="543" t="s">
        <v>762</v>
      </c>
      <c r="C439" s="605"/>
      <c r="D439" s="606"/>
      <c r="E439" s="749" t="s">
        <v>479</v>
      </c>
      <c r="F439" s="749">
        <v>164764.10369286564</v>
      </c>
      <c r="G439" s="749">
        <v>1</v>
      </c>
      <c r="H439" s="749">
        <v>1550.4927703761086</v>
      </c>
      <c r="I439" s="393">
        <f t="shared" si="15"/>
        <v>0.75</v>
      </c>
    </row>
    <row r="440" spans="1:9" ht="19.5" customHeight="1">
      <c r="A440" s="474">
        <v>12</v>
      </c>
      <c r="B440" s="543" t="s">
        <v>762</v>
      </c>
      <c r="C440" s="605"/>
      <c r="D440" s="606"/>
      <c r="E440" s="749" t="s">
        <v>761</v>
      </c>
      <c r="F440" s="749">
        <v>75905.5260122344</v>
      </c>
      <c r="G440" s="749">
        <v>1474</v>
      </c>
      <c r="H440" s="749">
        <v>2080</v>
      </c>
      <c r="I440" s="393">
        <f t="shared" si="15"/>
        <v>1</v>
      </c>
    </row>
    <row r="441" spans="1:9" ht="19.5" customHeight="1">
      <c r="A441" s="474">
        <v>13</v>
      </c>
      <c r="B441" s="543" t="s">
        <v>762</v>
      </c>
      <c r="C441" s="578"/>
      <c r="D441" s="579"/>
      <c r="E441" s="749" t="s">
        <v>732</v>
      </c>
      <c r="F441" s="749">
        <v>11881.4438352308</v>
      </c>
      <c r="G441" s="749">
        <v>78</v>
      </c>
      <c r="H441" s="749">
        <v>520</v>
      </c>
      <c r="I441" s="393">
        <f t="shared" si="15"/>
        <v>0.25</v>
      </c>
    </row>
    <row r="442" spans="1:9" ht="19.5" customHeight="1">
      <c r="A442" s="474">
        <v>14</v>
      </c>
      <c r="B442" s="543" t="s">
        <v>762</v>
      </c>
      <c r="C442" s="578"/>
      <c r="D442" s="579"/>
      <c r="E442" s="749" t="s">
        <v>759</v>
      </c>
      <c r="F442" s="749">
        <v>94823.375996127</v>
      </c>
      <c r="G442" s="749">
        <v>1504</v>
      </c>
      <c r="H442" s="749">
        <v>796</v>
      </c>
      <c r="I442" s="393">
        <f t="shared" si="15"/>
        <v>0.38</v>
      </c>
    </row>
    <row r="443" spans="1:9" ht="19.5" customHeight="1">
      <c r="A443" s="474">
        <v>15</v>
      </c>
      <c r="B443" s="543" t="s">
        <v>762</v>
      </c>
      <c r="C443" s="523"/>
      <c r="D443" s="524"/>
      <c r="E443" s="749" t="s">
        <v>761</v>
      </c>
      <c r="F443" s="749">
        <v>86735.0254770888</v>
      </c>
      <c r="G443" s="749">
        <v>1277</v>
      </c>
      <c r="H443" s="749">
        <v>2080</v>
      </c>
      <c r="I443" s="393">
        <f t="shared" si="15"/>
        <v>1</v>
      </c>
    </row>
    <row r="444" spans="1:9" ht="19.5" customHeight="1">
      <c r="A444" s="474">
        <v>16</v>
      </c>
      <c r="B444" s="543" t="s">
        <v>762</v>
      </c>
      <c r="C444" s="523"/>
      <c r="D444" s="524"/>
      <c r="E444" s="749" t="s">
        <v>761</v>
      </c>
      <c r="F444" s="749">
        <v>65954.551796392</v>
      </c>
      <c r="G444" s="749">
        <v>1279</v>
      </c>
      <c r="H444" s="749">
        <v>1664</v>
      </c>
      <c r="I444" s="393">
        <f t="shared" si="15"/>
        <v>0.8</v>
      </c>
    </row>
    <row r="445" spans="1:9" ht="19.5" customHeight="1">
      <c r="A445" s="474">
        <v>17</v>
      </c>
      <c r="B445" s="543" t="s">
        <v>762</v>
      </c>
      <c r="C445" s="523"/>
      <c r="D445" s="524"/>
      <c r="E445" s="749" t="s">
        <v>758</v>
      </c>
      <c r="F445" s="749">
        <v>30306.7496691617</v>
      </c>
      <c r="G445" s="749">
        <v>16</v>
      </c>
      <c r="H445" s="749">
        <v>1144</v>
      </c>
      <c r="I445" s="393">
        <f t="shared" si="15"/>
        <v>0.55</v>
      </c>
    </row>
    <row r="446" spans="1:9" ht="19.5" customHeight="1">
      <c r="A446" s="474">
        <v>18</v>
      </c>
      <c r="B446" s="543" t="s">
        <v>762</v>
      </c>
      <c r="C446" s="523"/>
      <c r="D446" s="524"/>
      <c r="E446" s="749" t="s">
        <v>732</v>
      </c>
      <c r="F446" s="749">
        <v>44003.7967464279</v>
      </c>
      <c r="G446" s="749">
        <v>120</v>
      </c>
      <c r="H446" s="749">
        <v>1975</v>
      </c>
      <c r="I446" s="393">
        <f t="shared" si="15"/>
        <v>0.95</v>
      </c>
    </row>
    <row r="447" spans="1:9" ht="19.5" customHeight="1">
      <c r="A447" s="474">
        <v>19</v>
      </c>
      <c r="B447" s="543" t="s">
        <v>762</v>
      </c>
      <c r="C447" s="523"/>
      <c r="D447" s="524"/>
      <c r="E447" s="749" t="s">
        <v>759</v>
      </c>
      <c r="F447" s="749">
        <v>27947.1544899354</v>
      </c>
      <c r="G447" s="749">
        <v>842</v>
      </c>
      <c r="H447" s="749">
        <v>246</v>
      </c>
      <c r="I447" s="393">
        <f t="shared" si="15"/>
        <v>0.12</v>
      </c>
    </row>
    <row r="448" spans="1:9" ht="19.5" customHeight="1">
      <c r="A448" s="474">
        <v>20</v>
      </c>
      <c r="B448" s="543" t="s">
        <v>762</v>
      </c>
      <c r="C448" s="523"/>
      <c r="D448" s="524"/>
      <c r="E448" s="749" t="s">
        <v>479</v>
      </c>
      <c r="F448" s="749">
        <v>21022.9693662197</v>
      </c>
      <c r="G448" s="749"/>
      <c r="H448" s="749">
        <v>520</v>
      </c>
      <c r="I448" s="393">
        <f t="shared" si="15"/>
        <v>0.25</v>
      </c>
    </row>
    <row r="449" spans="1:9" ht="19.5" customHeight="1">
      <c r="A449" s="474">
        <v>21</v>
      </c>
      <c r="B449" s="543" t="s">
        <v>762</v>
      </c>
      <c r="C449" s="523"/>
      <c r="D449" s="524"/>
      <c r="E449" s="749" t="s">
        <v>723</v>
      </c>
      <c r="F449" s="749">
        <v>77308.5324022841</v>
      </c>
      <c r="G449" s="749">
        <v>96</v>
      </c>
      <c r="H449" s="749">
        <v>2080</v>
      </c>
      <c r="I449" s="393">
        <f t="shared" si="15"/>
        <v>1</v>
      </c>
    </row>
    <row r="450" spans="1:9" ht="19.5" customHeight="1">
      <c r="A450" s="474">
        <v>22</v>
      </c>
      <c r="B450" s="543" t="s">
        <v>762</v>
      </c>
      <c r="C450" s="523"/>
      <c r="D450" s="524"/>
      <c r="E450" s="750" t="s">
        <v>732</v>
      </c>
      <c r="F450" s="750">
        <v>39202.9602707392</v>
      </c>
      <c r="G450" s="750"/>
      <c r="H450" s="1052">
        <v>2049</v>
      </c>
      <c r="I450" s="393">
        <f t="shared" si="15"/>
        <v>0.99</v>
      </c>
    </row>
    <row r="451" spans="1:9" ht="19.5" customHeight="1">
      <c r="A451" s="474">
        <v>23</v>
      </c>
      <c r="B451" s="543" t="s">
        <v>762</v>
      </c>
      <c r="C451" s="523"/>
      <c r="D451" s="524"/>
      <c r="E451" s="750" t="s">
        <v>732</v>
      </c>
      <c r="F451" s="750">
        <v>41799.1989144201</v>
      </c>
      <c r="G451" s="750"/>
      <c r="H451" s="1052">
        <v>2080</v>
      </c>
      <c r="I451" s="393">
        <f t="shared" si="15"/>
        <v>1</v>
      </c>
    </row>
    <row r="452" spans="1:9" ht="19.5" customHeight="1">
      <c r="A452" s="474">
        <v>24</v>
      </c>
      <c r="B452" s="522" t="s">
        <v>762</v>
      </c>
      <c r="C452" s="523"/>
      <c r="D452" s="524"/>
      <c r="E452" s="479" t="s">
        <v>802</v>
      </c>
      <c r="F452" s="392">
        <v>55554</v>
      </c>
      <c r="G452" s="480">
        <v>704</v>
      </c>
      <c r="H452" s="392">
        <v>1118</v>
      </c>
      <c r="I452" s="393">
        <f t="shared" si="15"/>
        <v>0.54</v>
      </c>
    </row>
    <row r="453" spans="1:9" ht="19.5" customHeight="1">
      <c r="A453" s="474">
        <v>25</v>
      </c>
      <c r="B453" s="546" t="s">
        <v>762</v>
      </c>
      <c r="C453" s="547"/>
      <c r="D453" s="548"/>
      <c r="E453" s="479" t="s">
        <v>483</v>
      </c>
      <c r="F453" s="394">
        <v>51378</v>
      </c>
      <c r="G453" s="477">
        <v>89</v>
      </c>
      <c r="H453" s="394">
        <v>2080</v>
      </c>
      <c r="I453" s="393">
        <f t="shared" si="15"/>
        <v>1</v>
      </c>
    </row>
    <row r="454" spans="1:9" ht="19.5" customHeight="1">
      <c r="A454" s="474">
        <v>26</v>
      </c>
      <c r="B454" s="546"/>
      <c r="C454" s="547"/>
      <c r="D454" s="548"/>
      <c r="E454" s="479"/>
      <c r="F454" s="394"/>
      <c r="G454" s="477"/>
      <c r="H454" s="394"/>
      <c r="I454" s="393"/>
    </row>
    <row r="455" spans="1:9" ht="19.5" customHeight="1" thickBot="1">
      <c r="A455" s="293"/>
      <c r="B455" s="957" t="s">
        <v>278</v>
      </c>
      <c r="C455" s="958"/>
      <c r="D455" s="959"/>
      <c r="E455" s="525"/>
      <c r="F455" s="473">
        <f>SUM(F429:F454)</f>
        <v>1447502.4231073183</v>
      </c>
      <c r="G455" s="473">
        <f>SUM(G429:G454)</f>
        <v>12593</v>
      </c>
      <c r="H455" s="473">
        <f>SUM(H429:H454)</f>
        <v>37315.492770376106</v>
      </c>
      <c r="I455" s="395">
        <f>SUM(I429:I454)</f>
        <v>17.950000000000003</v>
      </c>
    </row>
    <row r="456" ht="19.5" customHeight="1" thickTop="1"/>
    <row r="457" spans="6:9" ht="19.5" customHeight="1">
      <c r="F457" s="550"/>
      <c r="G457" s="550"/>
      <c r="H457" s="550"/>
      <c r="I457" s="1053"/>
    </row>
  </sheetData>
  <sheetProtection/>
  <mergeCells count="76">
    <mergeCell ref="B44:D44"/>
    <mergeCell ref="B45:D45"/>
    <mergeCell ref="A12:I12"/>
    <mergeCell ref="A13:D15"/>
    <mergeCell ref="B20:D20"/>
    <mergeCell ref="B21:D21"/>
    <mergeCell ref="B17:D17"/>
    <mergeCell ref="B24:D24"/>
    <mergeCell ref="B27:D27"/>
    <mergeCell ref="B34:D34"/>
    <mergeCell ref="A1:I1"/>
    <mergeCell ref="A2:I2"/>
    <mergeCell ref="A3:I3"/>
    <mergeCell ref="A4:I4"/>
    <mergeCell ref="C8:H8"/>
    <mergeCell ref="B39:D39"/>
    <mergeCell ref="B23:D23"/>
    <mergeCell ref="B35:D35"/>
    <mergeCell ref="H13:I13"/>
    <mergeCell ref="B28:D28"/>
    <mergeCell ref="B40:D40"/>
    <mergeCell ref="B41:D41"/>
    <mergeCell ref="B42:D42"/>
    <mergeCell ref="B54:D54"/>
    <mergeCell ref="B18:D18"/>
    <mergeCell ref="B19:D19"/>
    <mergeCell ref="B33:D33"/>
    <mergeCell ref="B43:D43"/>
    <mergeCell ref="B38:D38"/>
    <mergeCell ref="B26:D26"/>
    <mergeCell ref="B74:D74"/>
    <mergeCell ref="B60:D60"/>
    <mergeCell ref="B22:D22"/>
    <mergeCell ref="B29:D29"/>
    <mergeCell ref="B30:D30"/>
    <mergeCell ref="B31:D31"/>
    <mergeCell ref="B32:D32"/>
    <mergeCell ref="B59:D59"/>
    <mergeCell ref="B56:D56"/>
    <mergeCell ref="B25:D25"/>
    <mergeCell ref="B61:D61"/>
    <mergeCell ref="B63:D63"/>
    <mergeCell ref="B67:D67"/>
    <mergeCell ref="B68:D68"/>
    <mergeCell ref="B52:D52"/>
    <mergeCell ref="B53:D53"/>
    <mergeCell ref="B36:D36"/>
    <mergeCell ref="B37:D37"/>
    <mergeCell ref="B73:D73"/>
    <mergeCell ref="B69:D69"/>
    <mergeCell ref="B46:D46"/>
    <mergeCell ref="B47:D47"/>
    <mergeCell ref="B48:D48"/>
    <mergeCell ref="B55:D55"/>
    <mergeCell ref="B49:D49"/>
    <mergeCell ref="B50:D50"/>
    <mergeCell ref="B51:D51"/>
    <mergeCell ref="B75:D75"/>
    <mergeCell ref="B57:D57"/>
    <mergeCell ref="B58:D58"/>
    <mergeCell ref="B64:D64"/>
    <mergeCell ref="B71:D71"/>
    <mergeCell ref="B65:D65"/>
    <mergeCell ref="B66:D66"/>
    <mergeCell ref="B70:D70"/>
    <mergeCell ref="B62:D62"/>
    <mergeCell ref="B72:D72"/>
    <mergeCell ref="B455:D455"/>
    <mergeCell ref="B426:D426"/>
    <mergeCell ref="B428:D428"/>
    <mergeCell ref="B289:D289"/>
    <mergeCell ref="B291:D291"/>
    <mergeCell ref="B76:D76"/>
    <mergeCell ref="B80:D80"/>
    <mergeCell ref="B77:D77"/>
    <mergeCell ref="B78:D78"/>
  </mergeCells>
  <printOptions/>
  <pageMargins left="0.7" right="0.7" top="0.75" bottom="0.75" header="0.3" footer="0.3"/>
  <pageSetup fitToHeight="0" fitToWidth="1" horizontalDpi="600" verticalDpi="600" orientation="portrait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3.5">
      <c r="A1" s="877" t="s">
        <v>45</v>
      </c>
      <c r="B1" s="877"/>
      <c r="C1" s="877"/>
      <c r="D1" s="877"/>
      <c r="E1" s="877"/>
      <c r="F1" s="877"/>
      <c r="G1" s="877"/>
      <c r="H1" s="877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877" t="s">
        <v>46</v>
      </c>
      <c r="B2" s="877"/>
      <c r="C2" s="877"/>
      <c r="D2" s="877"/>
      <c r="E2" s="877"/>
      <c r="F2" s="877"/>
      <c r="G2" s="877"/>
      <c r="H2" s="877"/>
      <c r="I2" s="75"/>
      <c r="J2" s="75"/>
      <c r="K2" s="75"/>
      <c r="L2" s="75"/>
      <c r="M2" s="75"/>
      <c r="N2" s="75"/>
      <c r="O2" s="75"/>
      <c r="P2" s="75"/>
      <c r="Q2" s="75"/>
    </row>
    <row r="3" spans="1:17" ht="13.5">
      <c r="A3" s="877" t="s">
        <v>47</v>
      </c>
      <c r="B3" s="877"/>
      <c r="C3" s="877"/>
      <c r="D3" s="877"/>
      <c r="E3" s="877"/>
      <c r="F3" s="877"/>
      <c r="G3" s="877"/>
      <c r="H3" s="877"/>
      <c r="I3" s="75"/>
      <c r="J3" s="75"/>
      <c r="K3" s="75"/>
      <c r="L3" s="75"/>
      <c r="M3" s="75"/>
      <c r="N3" s="75"/>
      <c r="O3" s="75"/>
      <c r="P3" s="75"/>
      <c r="Q3" s="75"/>
    </row>
    <row r="4" spans="1:17" ht="13.5">
      <c r="A4" s="877" t="s">
        <v>48</v>
      </c>
      <c r="B4" s="877"/>
      <c r="C4" s="877"/>
      <c r="D4" s="877"/>
      <c r="E4" s="877"/>
      <c r="F4" s="877"/>
      <c r="G4" s="877"/>
      <c r="H4" s="87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148"/>
      <c r="G6" s="95" t="str">
        <f>'P1 Info &amp; Certification'!M20</f>
        <v>To</v>
      </c>
      <c r="H6" s="443">
        <f>'P1 Info &amp; Certification'!N20</f>
        <v>44012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963" t="s">
        <v>284</v>
      </c>
      <c r="B12" s="964"/>
      <c r="C12" s="964"/>
      <c r="D12" s="964"/>
      <c r="E12" s="964"/>
      <c r="F12" s="964"/>
      <c r="G12" s="964"/>
      <c r="H12" s="966"/>
    </row>
    <row r="13" spans="1:8" ht="12.75">
      <c r="A13" s="948" t="s">
        <v>281</v>
      </c>
      <c r="B13" s="949"/>
      <c r="C13" s="949"/>
      <c r="D13" s="974"/>
      <c r="E13" s="366"/>
      <c r="F13" s="413"/>
      <c r="G13" s="967" t="s">
        <v>271</v>
      </c>
      <c r="H13" s="968"/>
    </row>
    <row r="14" spans="1:8" ht="12.75">
      <c r="A14" s="950"/>
      <c r="B14" s="951"/>
      <c r="C14" s="951"/>
      <c r="D14" s="951"/>
      <c r="E14" s="364"/>
      <c r="F14" s="414"/>
      <c r="G14" s="169" t="s">
        <v>272</v>
      </c>
      <c r="H14" s="204" t="s">
        <v>203</v>
      </c>
    </row>
    <row r="15" spans="1:8" ht="12.75" customHeight="1">
      <c r="A15" s="952"/>
      <c r="B15" s="953"/>
      <c r="C15" s="953"/>
      <c r="D15" s="953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1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969" t="s">
        <v>279</v>
      </c>
      <c r="C17" s="970"/>
      <c r="D17" s="970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19.5" customHeight="1">
      <c r="A18" s="305" t="s">
        <v>83</v>
      </c>
      <c r="B18" s="975" t="s">
        <v>208</v>
      </c>
      <c r="C18" s="976"/>
      <c r="D18" s="977"/>
      <c r="E18" s="306"/>
      <c r="F18" s="306"/>
      <c r="G18" s="307"/>
      <c r="H18" s="308"/>
    </row>
    <row r="19" spans="1:8" ht="19.5" customHeight="1">
      <c r="A19" s="474" t="s">
        <v>49</v>
      </c>
      <c r="B19" s="942" t="s">
        <v>481</v>
      </c>
      <c r="C19" s="943"/>
      <c r="D19" s="944"/>
      <c r="E19" s="340">
        <f>+'P4 Form A-2 - Dental'!D19</f>
        <v>2642612.778083832</v>
      </c>
      <c r="F19" s="476">
        <f>+'Form B-2 Detail'!F39</f>
        <v>28543</v>
      </c>
      <c r="G19" s="476">
        <f>+'Form B-2 Detail'!G39</f>
        <v>31613</v>
      </c>
      <c r="H19" s="343">
        <f>ROUND(G19/2080,2)</f>
        <v>15.2</v>
      </c>
    </row>
    <row r="20" spans="1:8" ht="19.5" customHeight="1">
      <c r="A20" s="474" t="s">
        <v>50</v>
      </c>
      <c r="B20" s="942"/>
      <c r="C20" s="943"/>
      <c r="D20" s="944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942"/>
      <c r="C21" s="943"/>
      <c r="D21" s="944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942"/>
      <c r="C22" s="943"/>
      <c r="D22" s="944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942"/>
      <c r="C23" s="943"/>
      <c r="D23" s="944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945" t="s">
        <v>257</v>
      </c>
      <c r="C24" s="946"/>
      <c r="D24" s="947"/>
      <c r="E24" s="352">
        <f>SUM(E19:E23)</f>
        <v>2642612.778083832</v>
      </c>
      <c r="F24" s="352">
        <f>SUM(F19:F23)</f>
        <v>28543</v>
      </c>
      <c r="G24" s="352">
        <f>SUM(G19:G23)</f>
        <v>31613</v>
      </c>
      <c r="H24" s="344">
        <f>SUM(H19:H23)</f>
        <v>15.2</v>
      </c>
    </row>
    <row r="25" spans="1:9" ht="19.5" customHeight="1" thickTop="1">
      <c r="A25" s="253"/>
      <c r="B25" s="978"/>
      <c r="C25" s="978"/>
      <c r="D25" s="978"/>
      <c r="E25" s="487"/>
      <c r="F25" s="294"/>
      <c r="G25" s="295"/>
      <c r="H25" s="300"/>
      <c r="I25" s="146"/>
    </row>
    <row r="26" spans="1:8" ht="19.5" customHeight="1">
      <c r="A26" s="207" t="s">
        <v>84</v>
      </c>
      <c r="B26" s="971" t="s">
        <v>209</v>
      </c>
      <c r="C26" s="972"/>
      <c r="D26" s="973"/>
      <c r="E26" s="338"/>
      <c r="F26" s="338"/>
      <c r="G26" s="390"/>
      <c r="H26" s="391"/>
    </row>
    <row r="27" spans="1:8" ht="19.5" customHeight="1">
      <c r="A27" s="474" t="s">
        <v>49</v>
      </c>
      <c r="B27" s="942" t="s">
        <v>481</v>
      </c>
      <c r="C27" s="943"/>
      <c r="D27" s="944"/>
      <c r="E27" s="345">
        <f>+'P4 Form A-2 - Dental'!D20</f>
        <v>1751972.907469682</v>
      </c>
      <c r="F27" s="480">
        <f>+'Form B-2 Detail'!F68</f>
        <v>28296</v>
      </c>
      <c r="G27" s="480">
        <f>+'Form B-2 Detail'!G68</f>
        <v>40547.325</v>
      </c>
      <c r="H27" s="346">
        <f>ROUND(G27/2080,2)</f>
        <v>19.49</v>
      </c>
    </row>
    <row r="28" spans="1:8" ht="19.5" customHeight="1">
      <c r="A28" s="474" t="s">
        <v>50</v>
      </c>
      <c r="B28" s="942"/>
      <c r="C28" s="943"/>
      <c r="D28" s="944"/>
      <c r="E28" s="340"/>
      <c r="F28" s="477"/>
      <c r="G28" s="394"/>
      <c r="H28" s="346">
        <f>ROUND(G28/2080,2)</f>
        <v>0</v>
      </c>
    </row>
    <row r="29" spans="1:8" ht="19.5" customHeight="1">
      <c r="A29" s="474" t="s">
        <v>82</v>
      </c>
      <c r="B29" s="942"/>
      <c r="C29" s="943"/>
      <c r="D29" s="944"/>
      <c r="E29" s="340"/>
      <c r="F29" s="477"/>
      <c r="G29" s="394"/>
      <c r="H29" s="346">
        <f>ROUND(G29/2080,2)</f>
        <v>0</v>
      </c>
    </row>
    <row r="30" spans="1:8" ht="19.5" customHeight="1">
      <c r="A30" s="474" t="s">
        <v>51</v>
      </c>
      <c r="B30" s="942"/>
      <c r="C30" s="943"/>
      <c r="D30" s="944"/>
      <c r="E30" s="340"/>
      <c r="F30" s="477"/>
      <c r="G30" s="394"/>
      <c r="H30" s="346">
        <f>ROUND(G30/2080,2)</f>
        <v>0</v>
      </c>
    </row>
    <row r="31" spans="1:8" ht="19.5" customHeight="1">
      <c r="A31" s="474" t="s">
        <v>156</v>
      </c>
      <c r="B31" s="942"/>
      <c r="C31" s="943"/>
      <c r="D31" s="944"/>
      <c r="E31" s="340"/>
      <c r="F31" s="477"/>
      <c r="G31" s="394"/>
      <c r="H31" s="346">
        <f>ROUND(G31/2080,2)</f>
        <v>0</v>
      </c>
    </row>
    <row r="32" spans="1:8" ht="24.75" customHeight="1" thickBot="1">
      <c r="A32" s="293"/>
      <c r="B32" s="945" t="s">
        <v>258</v>
      </c>
      <c r="C32" s="946"/>
      <c r="D32" s="947"/>
      <c r="E32" s="352">
        <f>SUM(E27:E31)</f>
        <v>1751972.907469682</v>
      </c>
      <c r="F32" s="352">
        <f>SUM(F27:F31)</f>
        <v>28296</v>
      </c>
      <c r="G32" s="352">
        <f>SUM(G27:G31)</f>
        <v>40547.325</v>
      </c>
      <c r="H32" s="344">
        <f>SUM(H27:H31)</f>
        <v>19.49</v>
      </c>
    </row>
    <row r="33" spans="1:8" s="146" customFormat="1" ht="19.5" customHeight="1" thickTop="1">
      <c r="A33" s="293"/>
      <c r="B33" s="375"/>
      <c r="C33" s="375"/>
      <c r="D33" s="375"/>
      <c r="E33" s="487"/>
      <c r="F33" s="294"/>
      <c r="G33" s="295"/>
      <c r="H33" s="300"/>
    </row>
    <row r="34" spans="1:8" ht="19.5" customHeight="1">
      <c r="A34" s="207" t="s">
        <v>91</v>
      </c>
      <c r="B34" s="971" t="s">
        <v>346</v>
      </c>
      <c r="C34" s="972"/>
      <c r="D34" s="973"/>
      <c r="E34" s="338"/>
      <c r="F34" s="338"/>
      <c r="G34" s="390"/>
      <c r="H34" s="391"/>
    </row>
    <row r="35" spans="1:8" ht="19.5" customHeight="1">
      <c r="A35" s="474" t="s">
        <v>49</v>
      </c>
      <c r="B35" s="942" t="s">
        <v>481</v>
      </c>
      <c r="C35" s="943"/>
      <c r="D35" s="944"/>
      <c r="E35" s="345">
        <f>'Form B-2 Detail'!E80</f>
        <v>0</v>
      </c>
      <c r="F35" s="480">
        <f>'Form B-2 Detail'!F80</f>
        <v>1818</v>
      </c>
      <c r="G35" s="392">
        <f>'Form B-2 Detail'!G80</f>
        <v>2047.0679999999998</v>
      </c>
      <c r="H35" s="346">
        <f>ROUND(G35/2080,2)</f>
        <v>0.98</v>
      </c>
    </row>
    <row r="36" spans="1:8" ht="19.5" customHeight="1">
      <c r="A36" s="474" t="s">
        <v>50</v>
      </c>
      <c r="B36" s="942"/>
      <c r="C36" s="943"/>
      <c r="D36" s="944"/>
      <c r="E36" s="340"/>
      <c r="F36" s="477"/>
      <c r="G36" s="394"/>
      <c r="H36" s="346">
        <f>ROUND(G36/2080,2)</f>
        <v>0</v>
      </c>
    </row>
    <row r="37" spans="1:8" ht="19.5" customHeight="1">
      <c r="A37" s="474" t="s">
        <v>82</v>
      </c>
      <c r="B37" s="942"/>
      <c r="C37" s="943"/>
      <c r="D37" s="944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942"/>
      <c r="C38" s="943"/>
      <c r="D38" s="944"/>
      <c r="E38" s="340"/>
      <c r="F38" s="477"/>
      <c r="G38" s="394"/>
      <c r="H38" s="346">
        <f>ROUND(G38/2080,2)</f>
        <v>0</v>
      </c>
    </row>
    <row r="39" spans="1:8" ht="19.5" customHeight="1">
      <c r="A39" s="474" t="s">
        <v>156</v>
      </c>
      <c r="B39" s="942"/>
      <c r="C39" s="943"/>
      <c r="D39" s="944"/>
      <c r="E39" s="340"/>
      <c r="F39" s="477"/>
      <c r="G39" s="394"/>
      <c r="H39" s="346">
        <f>ROUND(G39/2080,2)</f>
        <v>0</v>
      </c>
    </row>
    <row r="40" spans="1:8" ht="24.75" customHeight="1" thickBot="1">
      <c r="A40" s="293"/>
      <c r="B40" s="945" t="s">
        <v>347</v>
      </c>
      <c r="C40" s="946"/>
      <c r="D40" s="947"/>
      <c r="E40" s="352">
        <f>SUM(E35:E39)</f>
        <v>0</v>
      </c>
      <c r="F40" s="352">
        <f>SUM(F35:F39)</f>
        <v>1818</v>
      </c>
      <c r="G40" s="352">
        <f>SUM(G35:G39)</f>
        <v>2047.0679999999998</v>
      </c>
      <c r="H40" s="344">
        <f>SUM(H35:H39)</f>
        <v>0.98</v>
      </c>
    </row>
    <row r="41" spans="1:8" ht="14.25" customHeight="1" thickBot="1" thickTop="1">
      <c r="A41" s="301"/>
      <c r="B41" s="309"/>
      <c r="C41" s="309"/>
      <c r="D41" s="309"/>
      <c r="E41" s="310"/>
      <c r="F41" s="311"/>
      <c r="G41" s="312"/>
      <c r="H41" s="313"/>
    </row>
  </sheetData>
  <sheetProtection password="E1AE" sheet="1" formatColumns="0" formatRows="0"/>
  <mergeCells count="31"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  <mergeCell ref="B32:D32"/>
    <mergeCell ref="B24:D24"/>
    <mergeCell ref="B25:D25"/>
    <mergeCell ref="B26:D26"/>
    <mergeCell ref="B20:D20"/>
    <mergeCell ref="B21:D21"/>
    <mergeCell ref="B22:D22"/>
    <mergeCell ref="B23:D23"/>
    <mergeCell ref="B34:D34"/>
    <mergeCell ref="B35:D35"/>
    <mergeCell ref="B36:D36"/>
    <mergeCell ref="B37:D37"/>
    <mergeCell ref="B40:D40"/>
    <mergeCell ref="B27:D27"/>
    <mergeCell ref="B28:D28"/>
    <mergeCell ref="B29:D29"/>
    <mergeCell ref="B30:D30"/>
    <mergeCell ref="B31:D31"/>
    <mergeCell ref="B38:D38"/>
    <mergeCell ref="B39:D39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71" r:id="rId1"/>
  <headerFooter alignWithMargins="0">
    <oddFooter>&amp;LDSS-16 10-24-2016&amp;RPage 10</oddFooter>
  </headerFooter>
  <rowBreaks count="1" manualBreakCount="1"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M84"/>
  <sheetViews>
    <sheetView zoomScalePageLayoutView="0" workbookViewId="0" topLeftCell="D69">
      <selection activeCell="J1" sqref="J1:M16384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2" ht="13.5">
      <c r="A1" s="877" t="s">
        <v>45</v>
      </c>
      <c r="B1" s="877"/>
      <c r="C1" s="877"/>
      <c r="D1" s="877"/>
      <c r="E1" s="877"/>
      <c r="F1" s="877"/>
      <c r="G1" s="877"/>
      <c r="H1" s="877"/>
      <c r="I1" s="75"/>
      <c r="J1" s="75"/>
      <c r="K1" s="75"/>
      <c r="L1" s="75"/>
    </row>
    <row r="2" spans="1:12" ht="13.5">
      <c r="A2" s="877" t="s">
        <v>46</v>
      </c>
      <c r="B2" s="877"/>
      <c r="C2" s="877"/>
      <c r="D2" s="877"/>
      <c r="E2" s="877"/>
      <c r="F2" s="877"/>
      <c r="G2" s="877"/>
      <c r="H2" s="877"/>
      <c r="I2" s="75"/>
      <c r="J2" s="75"/>
      <c r="K2" s="75"/>
      <c r="L2" s="75"/>
    </row>
    <row r="3" spans="1:12" ht="13.5">
      <c r="A3" s="877" t="s">
        <v>47</v>
      </c>
      <c r="B3" s="877"/>
      <c r="C3" s="877"/>
      <c r="D3" s="877"/>
      <c r="E3" s="877"/>
      <c r="F3" s="877"/>
      <c r="G3" s="877"/>
      <c r="H3" s="877"/>
      <c r="I3" s="75"/>
      <c r="J3" s="75"/>
      <c r="K3" s="75"/>
      <c r="L3" s="75"/>
    </row>
    <row r="4" spans="1:12" ht="13.5">
      <c r="A4" s="877" t="s">
        <v>48</v>
      </c>
      <c r="B4" s="877"/>
      <c r="C4" s="877"/>
      <c r="D4" s="877"/>
      <c r="E4" s="877"/>
      <c r="F4" s="877"/>
      <c r="G4" s="877"/>
      <c r="H4" s="877"/>
      <c r="I4" s="75"/>
      <c r="J4" s="75"/>
      <c r="K4" s="75"/>
      <c r="L4" s="75"/>
    </row>
    <row r="5" spans="1:12" ht="13.5" thickBot="1">
      <c r="A5" s="151"/>
      <c r="B5" s="12"/>
      <c r="C5" s="12"/>
      <c r="D5" s="12"/>
      <c r="E5" s="514"/>
      <c r="F5" s="514"/>
      <c r="G5" s="514"/>
      <c r="H5" s="514"/>
      <c r="I5" s="514"/>
      <c r="J5" s="514"/>
      <c r="K5" s="514"/>
      <c r="L5" s="514"/>
    </row>
    <row r="6" spans="1:13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148"/>
      <c r="G6" s="95" t="str">
        <f>'P1 Info &amp; Certification'!M20</f>
        <v>To</v>
      </c>
      <c r="H6" s="516">
        <f>'P1 Info &amp; Certification'!N20</f>
        <v>44012</v>
      </c>
      <c r="I6" s="147"/>
      <c r="J6" s="147"/>
      <c r="K6" s="529"/>
      <c r="L6" s="146"/>
      <c r="M6" s="146"/>
    </row>
    <row r="7" spans="1:13" ht="12.75">
      <c r="A7" s="153"/>
      <c r="B7" s="529"/>
      <c r="C7" s="529"/>
      <c r="D7" s="529"/>
      <c r="E7" s="13"/>
      <c r="F7" s="13"/>
      <c r="G7" s="13"/>
      <c r="H7" s="81"/>
      <c r="I7" s="13"/>
      <c r="J7" s="13"/>
      <c r="K7" s="13"/>
      <c r="L7" s="146"/>
      <c r="M7" s="146"/>
    </row>
    <row r="8" spans="1:13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464"/>
      <c r="I8" s="528"/>
      <c r="J8" s="528"/>
      <c r="K8" s="528"/>
      <c r="L8" s="146"/>
      <c r="M8" s="146"/>
    </row>
    <row r="9" spans="1:13" ht="12.75">
      <c r="A9" s="471"/>
      <c r="B9" s="515"/>
      <c r="C9" s="515"/>
      <c r="D9" s="515"/>
      <c r="E9" s="515"/>
      <c r="F9" s="515"/>
      <c r="G9" s="515"/>
      <c r="H9" s="515"/>
      <c r="I9" s="530"/>
      <c r="J9" s="530"/>
      <c r="K9" s="530"/>
      <c r="L9" s="146"/>
      <c r="M9" s="146"/>
    </row>
    <row r="10" spans="1:8" ht="12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963" t="s">
        <v>284</v>
      </c>
      <c r="B12" s="964"/>
      <c r="C12" s="964"/>
      <c r="D12" s="964"/>
      <c r="E12" s="964"/>
      <c r="F12" s="964"/>
      <c r="G12" s="964"/>
      <c r="H12" s="966"/>
    </row>
    <row r="13" spans="1:8" ht="12.75">
      <c r="A13" s="948" t="s">
        <v>281</v>
      </c>
      <c r="B13" s="949"/>
      <c r="C13" s="949"/>
      <c r="D13" s="974"/>
      <c r="E13" s="366"/>
      <c r="F13" s="413"/>
      <c r="G13" s="967" t="s">
        <v>271</v>
      </c>
      <c r="H13" s="968"/>
    </row>
    <row r="14" spans="1:8" ht="12.75">
      <c r="A14" s="950"/>
      <c r="B14" s="951"/>
      <c r="C14" s="951"/>
      <c r="D14" s="951"/>
      <c r="E14" s="364"/>
      <c r="F14" s="414"/>
      <c r="G14" s="169" t="s">
        <v>272</v>
      </c>
      <c r="H14" s="204" t="s">
        <v>203</v>
      </c>
    </row>
    <row r="15" spans="1:8" ht="12.75" customHeight="1">
      <c r="A15" s="952"/>
      <c r="B15" s="953"/>
      <c r="C15" s="953"/>
      <c r="D15" s="953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19"/>
      <c r="B16" s="521"/>
      <c r="C16" s="521"/>
      <c r="D16" s="521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969" t="s">
        <v>279</v>
      </c>
      <c r="C17" s="970"/>
      <c r="D17" s="970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19.5" customHeight="1">
      <c r="A18" s="305" t="s">
        <v>83</v>
      </c>
      <c r="B18" s="975" t="s">
        <v>208</v>
      </c>
      <c r="C18" s="976"/>
      <c r="D18" s="977"/>
      <c r="E18" s="306"/>
      <c r="F18" s="306"/>
      <c r="G18" s="307"/>
      <c r="H18" s="308"/>
    </row>
    <row r="19" spans="1:8" ht="19.5" customHeight="1">
      <c r="A19" s="474">
        <v>1</v>
      </c>
      <c r="B19" s="543" t="s">
        <v>208</v>
      </c>
      <c r="C19" s="544"/>
      <c r="D19" s="545"/>
      <c r="E19" s="751">
        <v>161404.572577453</v>
      </c>
      <c r="F19" s="751">
        <v>1431</v>
      </c>
      <c r="G19" s="751">
        <v>2080</v>
      </c>
      <c r="H19" s="343">
        <f>ROUND(G19/2080,2)</f>
        <v>1</v>
      </c>
    </row>
    <row r="20" spans="1:8" ht="19.5" customHeight="1">
      <c r="A20" s="474">
        <v>2</v>
      </c>
      <c r="B20" s="543" t="s">
        <v>208</v>
      </c>
      <c r="C20" s="518"/>
      <c r="D20" s="478"/>
      <c r="E20" s="751">
        <v>44932.9971410044</v>
      </c>
      <c r="F20" s="751">
        <v>708</v>
      </c>
      <c r="G20" s="751">
        <v>584</v>
      </c>
      <c r="H20" s="343">
        <f aca="true" t="shared" si="0" ref="H20:H39">ROUND(G20/2080,2)</f>
        <v>0.28</v>
      </c>
    </row>
    <row r="21" spans="1:8" ht="19.5" customHeight="1">
      <c r="A21" s="474">
        <v>3</v>
      </c>
      <c r="B21" s="543" t="s">
        <v>208</v>
      </c>
      <c r="C21" s="518"/>
      <c r="D21" s="478"/>
      <c r="E21" s="751">
        <v>171569.697373296</v>
      </c>
      <c r="F21" s="751">
        <v>2296</v>
      </c>
      <c r="G21" s="751">
        <v>2080</v>
      </c>
      <c r="H21" s="343">
        <f t="shared" si="0"/>
        <v>1</v>
      </c>
    </row>
    <row r="22" spans="1:8" ht="19.5" customHeight="1">
      <c r="A22" s="474">
        <v>4</v>
      </c>
      <c r="B22" s="543" t="s">
        <v>208</v>
      </c>
      <c r="C22" s="518"/>
      <c r="D22" s="478"/>
      <c r="E22" s="751">
        <v>64083.0420320457</v>
      </c>
      <c r="F22" s="751">
        <v>832</v>
      </c>
      <c r="G22" s="751">
        <v>861</v>
      </c>
      <c r="H22" s="343">
        <f t="shared" si="0"/>
        <v>0.41</v>
      </c>
    </row>
    <row r="23" spans="1:8" ht="19.5" customHeight="1">
      <c r="A23" s="474">
        <v>5</v>
      </c>
      <c r="B23" s="543" t="s">
        <v>208</v>
      </c>
      <c r="C23" s="518"/>
      <c r="D23" s="478"/>
      <c r="E23" s="751">
        <v>160229.151431422</v>
      </c>
      <c r="F23" s="751">
        <v>1938</v>
      </c>
      <c r="G23" s="751">
        <v>2080</v>
      </c>
      <c r="H23" s="343">
        <f t="shared" si="0"/>
        <v>1</v>
      </c>
    </row>
    <row r="24" spans="1:8" ht="19.5" customHeight="1">
      <c r="A24" s="474">
        <v>6</v>
      </c>
      <c r="B24" s="543" t="s">
        <v>208</v>
      </c>
      <c r="C24" s="518"/>
      <c r="D24" s="478"/>
      <c r="E24" s="751">
        <v>84495.4873408587</v>
      </c>
      <c r="F24" s="751">
        <v>1193</v>
      </c>
      <c r="G24" s="751">
        <v>1040</v>
      </c>
      <c r="H24" s="343">
        <f t="shared" si="0"/>
        <v>0.5</v>
      </c>
    </row>
    <row r="25" spans="1:8" ht="19.5" customHeight="1">
      <c r="A25" s="474">
        <v>7</v>
      </c>
      <c r="B25" s="543" t="s">
        <v>208</v>
      </c>
      <c r="C25" s="518"/>
      <c r="D25" s="478"/>
      <c r="E25" s="751">
        <v>174637.116146301</v>
      </c>
      <c r="F25" s="751">
        <v>1948</v>
      </c>
      <c r="G25" s="751">
        <v>2080</v>
      </c>
      <c r="H25" s="343">
        <f t="shared" si="0"/>
        <v>1</v>
      </c>
    </row>
    <row r="26" spans="1:8" ht="19.5" customHeight="1">
      <c r="A26" s="474">
        <v>8</v>
      </c>
      <c r="B26" s="543" t="s">
        <v>208</v>
      </c>
      <c r="C26" s="518"/>
      <c r="D26" s="478"/>
      <c r="E26" s="751">
        <v>44558.811214779</v>
      </c>
      <c r="F26" s="751">
        <v>412</v>
      </c>
      <c r="G26" s="751">
        <v>584</v>
      </c>
      <c r="H26" s="343">
        <f t="shared" si="0"/>
        <v>0.28</v>
      </c>
    </row>
    <row r="27" spans="1:8" ht="19.5" customHeight="1">
      <c r="A27" s="474">
        <v>9</v>
      </c>
      <c r="B27" s="543" t="s">
        <v>208</v>
      </c>
      <c r="C27" s="518"/>
      <c r="D27" s="478"/>
      <c r="E27" s="751">
        <v>93454.8612188718</v>
      </c>
      <c r="F27" s="751">
        <v>473</v>
      </c>
      <c r="G27" s="751">
        <v>1040</v>
      </c>
      <c r="H27" s="343">
        <f t="shared" si="0"/>
        <v>0.5</v>
      </c>
    </row>
    <row r="28" spans="1:8" ht="19.5" customHeight="1">
      <c r="A28" s="474">
        <v>10</v>
      </c>
      <c r="B28" s="543" t="s">
        <v>208</v>
      </c>
      <c r="C28" s="518"/>
      <c r="D28" s="478"/>
      <c r="E28" s="751">
        <v>151802.426194551</v>
      </c>
      <c r="F28" s="751">
        <v>1955</v>
      </c>
      <c r="G28" s="751">
        <v>1781</v>
      </c>
      <c r="H28" s="343">
        <f t="shared" si="0"/>
        <v>0.86</v>
      </c>
    </row>
    <row r="29" spans="1:8" ht="19.5" customHeight="1">
      <c r="A29" s="474">
        <v>11</v>
      </c>
      <c r="B29" s="543" t="s">
        <v>208</v>
      </c>
      <c r="C29" s="518"/>
      <c r="D29" s="478"/>
      <c r="E29" s="751">
        <v>175068.989705597</v>
      </c>
      <c r="F29" s="751">
        <v>2323</v>
      </c>
      <c r="G29" s="751">
        <v>2080</v>
      </c>
      <c r="H29" s="343">
        <f t="shared" si="0"/>
        <v>1</v>
      </c>
    </row>
    <row r="30" spans="1:8" ht="19.5" customHeight="1">
      <c r="A30" s="474">
        <v>12</v>
      </c>
      <c r="B30" s="543" t="s">
        <v>208</v>
      </c>
      <c r="C30" s="518"/>
      <c r="D30" s="478"/>
      <c r="E30" s="751">
        <v>195067.250429404</v>
      </c>
      <c r="F30" s="751">
        <v>1756</v>
      </c>
      <c r="G30" s="751">
        <v>2080</v>
      </c>
      <c r="H30" s="343">
        <f t="shared" si="0"/>
        <v>1</v>
      </c>
    </row>
    <row r="31" spans="1:8" ht="19.5" customHeight="1">
      <c r="A31" s="474">
        <v>13</v>
      </c>
      <c r="B31" s="543" t="s">
        <v>208</v>
      </c>
      <c r="C31" s="518"/>
      <c r="D31" s="478"/>
      <c r="E31" s="751">
        <v>21316.3335750467</v>
      </c>
      <c r="F31" s="751">
        <v>416</v>
      </c>
      <c r="G31" s="751">
        <v>287</v>
      </c>
      <c r="H31" s="343">
        <f t="shared" si="0"/>
        <v>0.14</v>
      </c>
    </row>
    <row r="32" spans="1:8" ht="19.5" customHeight="1">
      <c r="A32" s="474">
        <v>14</v>
      </c>
      <c r="B32" s="543" t="s">
        <v>208</v>
      </c>
      <c r="C32" s="518"/>
      <c r="D32" s="478"/>
      <c r="E32" s="751">
        <v>118262.11081676</v>
      </c>
      <c r="F32" s="751">
        <v>1057</v>
      </c>
      <c r="G32" s="751">
        <v>1518</v>
      </c>
      <c r="H32" s="343">
        <f t="shared" si="0"/>
        <v>0.73</v>
      </c>
    </row>
    <row r="33" spans="1:8" ht="19.5" customHeight="1">
      <c r="A33" s="474">
        <v>15</v>
      </c>
      <c r="B33" s="543" t="s">
        <v>208</v>
      </c>
      <c r="C33" s="518"/>
      <c r="D33" s="478"/>
      <c r="E33" s="751">
        <v>165413.303298203</v>
      </c>
      <c r="F33" s="751">
        <v>1910</v>
      </c>
      <c r="G33" s="751">
        <v>2080</v>
      </c>
      <c r="H33" s="343">
        <f t="shared" si="0"/>
        <v>1</v>
      </c>
    </row>
    <row r="34" spans="1:8" ht="19.5" customHeight="1">
      <c r="A34" s="474">
        <v>16</v>
      </c>
      <c r="B34" s="543" t="s">
        <v>208</v>
      </c>
      <c r="C34" s="518"/>
      <c r="D34" s="478"/>
      <c r="E34" s="751">
        <v>206178.755705325</v>
      </c>
      <c r="F34" s="751">
        <v>2744</v>
      </c>
      <c r="G34" s="751">
        <v>2080</v>
      </c>
      <c r="H34" s="346">
        <f t="shared" si="0"/>
        <v>1</v>
      </c>
    </row>
    <row r="35" spans="1:9" ht="19.5" customHeight="1">
      <c r="A35" s="474">
        <v>17</v>
      </c>
      <c r="B35" s="543" t="s">
        <v>208</v>
      </c>
      <c r="C35" s="673"/>
      <c r="D35" s="674"/>
      <c r="E35" s="751">
        <v>117905.685109255</v>
      </c>
      <c r="F35" s="751">
        <v>881</v>
      </c>
      <c r="G35" s="751">
        <v>1360</v>
      </c>
      <c r="H35" s="346">
        <f t="shared" si="0"/>
        <v>0.65</v>
      </c>
      <c r="I35" s="672"/>
    </row>
    <row r="36" spans="1:9" ht="19.5" customHeight="1">
      <c r="A36" s="474">
        <v>18</v>
      </c>
      <c r="B36" s="543" t="s">
        <v>208</v>
      </c>
      <c r="C36" s="675"/>
      <c r="D36" s="676"/>
      <c r="E36" s="751">
        <v>153252.347206969</v>
      </c>
      <c r="F36" s="751">
        <v>1875</v>
      </c>
      <c r="G36" s="751">
        <v>2080</v>
      </c>
      <c r="H36" s="346">
        <f t="shared" si="0"/>
        <v>1</v>
      </c>
      <c r="I36" s="672"/>
    </row>
    <row r="37" spans="1:9" ht="19.5" customHeight="1">
      <c r="A37" s="474">
        <f>+A36+1</f>
        <v>19</v>
      </c>
      <c r="B37" s="543" t="s">
        <v>208</v>
      </c>
      <c r="C37" s="677"/>
      <c r="D37" s="678"/>
      <c r="E37" s="751">
        <v>169679.409612652</v>
      </c>
      <c r="F37" s="751">
        <v>1815</v>
      </c>
      <c r="G37" s="751">
        <v>2080</v>
      </c>
      <c r="H37" s="346">
        <f t="shared" si="0"/>
        <v>1</v>
      </c>
      <c r="I37" s="672"/>
    </row>
    <row r="38" spans="1:8" ht="19.5" customHeight="1">
      <c r="A38" s="474">
        <f>+A37+1</f>
        <v>20</v>
      </c>
      <c r="B38" s="543" t="s">
        <v>208</v>
      </c>
      <c r="C38" s="518"/>
      <c r="D38" s="478"/>
      <c r="E38" s="751">
        <v>169300.429954038</v>
      </c>
      <c r="F38" s="751">
        <v>580</v>
      </c>
      <c r="G38" s="751">
        <v>1758</v>
      </c>
      <c r="H38" s="346">
        <f t="shared" si="0"/>
        <v>0.85</v>
      </c>
    </row>
    <row r="39" spans="1:8" ht="24.75" customHeight="1" thickBot="1">
      <c r="A39" s="253"/>
      <c r="B39" s="945" t="s">
        <v>257</v>
      </c>
      <c r="C39" s="946"/>
      <c r="D39" s="947"/>
      <c r="E39" s="352">
        <f>SUM(E19:E38)</f>
        <v>2642612.778083832</v>
      </c>
      <c r="F39" s="352">
        <f>SUM(F19:F38)</f>
        <v>28543</v>
      </c>
      <c r="G39" s="352">
        <f>SUM(G19:G38)</f>
        <v>31613</v>
      </c>
      <c r="H39" s="344">
        <f t="shared" si="0"/>
        <v>15.2</v>
      </c>
    </row>
    <row r="40" spans="1:9" ht="19.5" customHeight="1" thickTop="1">
      <c r="A40" s="253"/>
      <c r="B40" s="978"/>
      <c r="C40" s="978"/>
      <c r="D40" s="978"/>
      <c r="E40" s="487"/>
      <c r="F40" s="294"/>
      <c r="G40" s="295"/>
      <c r="H40" s="300"/>
      <c r="I40" s="146"/>
    </row>
    <row r="41" spans="1:8" ht="19.5" customHeight="1">
      <c r="A41" s="207" t="s">
        <v>84</v>
      </c>
      <c r="B41" s="971" t="s">
        <v>209</v>
      </c>
      <c r="C41" s="972"/>
      <c r="D41" s="973"/>
      <c r="E41" s="338"/>
      <c r="F41" s="338"/>
      <c r="G41" s="390"/>
      <c r="H41" s="391"/>
    </row>
    <row r="42" spans="1:8" ht="19.5" customHeight="1">
      <c r="A42" s="474">
        <v>1</v>
      </c>
      <c r="B42" s="754" t="s">
        <v>763</v>
      </c>
      <c r="C42" s="753"/>
      <c r="D42" s="755"/>
      <c r="E42" s="751">
        <v>78112.1492216207</v>
      </c>
      <c r="F42" s="751">
        <v>1239</v>
      </c>
      <c r="G42" s="751">
        <v>1664</v>
      </c>
      <c r="H42" s="346">
        <f>ROUND(G42/2080,2)</f>
        <v>0.8</v>
      </c>
    </row>
    <row r="43" spans="1:8" ht="19.5" customHeight="1">
      <c r="A43" s="474">
        <v>2</v>
      </c>
      <c r="B43" s="752" t="s">
        <v>763</v>
      </c>
      <c r="C43" s="518"/>
      <c r="D43" s="478"/>
      <c r="E43" s="751">
        <v>91066.1372453885</v>
      </c>
      <c r="F43" s="751">
        <v>2304</v>
      </c>
      <c r="G43" s="751">
        <v>2080</v>
      </c>
      <c r="H43" s="346">
        <f aca="true" t="shared" si="1" ref="H43:H63">ROUND(G43/2080,2)</f>
        <v>1</v>
      </c>
    </row>
    <row r="44" spans="1:8" ht="19.5" customHeight="1">
      <c r="A44" s="474">
        <v>3</v>
      </c>
      <c r="B44" s="752" t="s">
        <v>764</v>
      </c>
      <c r="C44" s="518"/>
      <c r="D44" s="478"/>
      <c r="E44" s="751">
        <v>108843.240896008</v>
      </c>
      <c r="F44" s="751">
        <v>64</v>
      </c>
      <c r="G44" s="751">
        <v>2080</v>
      </c>
      <c r="H44" s="346">
        <f t="shared" si="1"/>
        <v>1</v>
      </c>
    </row>
    <row r="45" spans="1:8" ht="19.5" customHeight="1">
      <c r="A45" s="474">
        <v>4</v>
      </c>
      <c r="B45" s="752" t="s">
        <v>763</v>
      </c>
      <c r="C45" s="518"/>
      <c r="D45" s="478"/>
      <c r="E45" s="751">
        <v>79508.68254628</v>
      </c>
      <c r="F45" s="751">
        <v>1529</v>
      </c>
      <c r="G45" s="751">
        <v>2080</v>
      </c>
      <c r="H45" s="346">
        <f t="shared" si="1"/>
        <v>1</v>
      </c>
    </row>
    <row r="46" spans="1:8" ht="19.5" customHeight="1">
      <c r="A46" s="474">
        <v>5</v>
      </c>
      <c r="B46" s="752" t="s">
        <v>763</v>
      </c>
      <c r="C46" s="518"/>
      <c r="D46" s="478"/>
      <c r="E46" s="751">
        <v>64066.085857611</v>
      </c>
      <c r="F46" s="751">
        <v>765</v>
      </c>
      <c r="G46" s="751">
        <v>1560</v>
      </c>
      <c r="H46" s="346">
        <f t="shared" si="1"/>
        <v>0.75</v>
      </c>
    </row>
    <row r="47" spans="1:8" ht="19.5" customHeight="1">
      <c r="A47" s="474">
        <v>6</v>
      </c>
      <c r="B47" s="752" t="s">
        <v>763</v>
      </c>
      <c r="C47" s="518"/>
      <c r="D47" s="478"/>
      <c r="E47" s="751">
        <v>63652.5730058059</v>
      </c>
      <c r="F47" s="751">
        <v>1166</v>
      </c>
      <c r="G47" s="751">
        <v>1560</v>
      </c>
      <c r="H47" s="346">
        <f t="shared" si="1"/>
        <v>0.75</v>
      </c>
    </row>
    <row r="48" spans="1:8" ht="19.5" customHeight="1">
      <c r="A48" s="474">
        <v>7</v>
      </c>
      <c r="B48" s="752" t="s">
        <v>763</v>
      </c>
      <c r="C48" s="518"/>
      <c r="D48" s="478"/>
      <c r="E48" s="751">
        <v>37690.1865689979</v>
      </c>
      <c r="F48" s="751">
        <v>477</v>
      </c>
      <c r="G48" s="751">
        <v>1092</v>
      </c>
      <c r="H48" s="346">
        <f t="shared" si="1"/>
        <v>0.53</v>
      </c>
    </row>
    <row r="49" spans="1:8" ht="19.5" customHeight="1">
      <c r="A49" s="474">
        <v>8</v>
      </c>
      <c r="B49" s="752" t="s">
        <v>763</v>
      </c>
      <c r="C49" s="518"/>
      <c r="D49" s="478"/>
      <c r="E49" s="751">
        <v>36772.4667054912</v>
      </c>
      <c r="F49" s="751">
        <v>751</v>
      </c>
      <c r="G49" s="751">
        <v>955.325</v>
      </c>
      <c r="H49" s="346">
        <f t="shared" si="1"/>
        <v>0.46</v>
      </c>
    </row>
    <row r="50" spans="1:8" ht="19.5" customHeight="1">
      <c r="A50" s="474">
        <v>9</v>
      </c>
      <c r="B50" s="752" t="s">
        <v>763</v>
      </c>
      <c r="C50" s="518"/>
      <c r="D50" s="478"/>
      <c r="E50" s="751">
        <v>98864.6441967227</v>
      </c>
      <c r="F50" s="751">
        <v>1467</v>
      </c>
      <c r="G50" s="751">
        <v>2080</v>
      </c>
      <c r="H50" s="346">
        <f t="shared" si="1"/>
        <v>1</v>
      </c>
    </row>
    <row r="51" spans="1:8" ht="19.5" customHeight="1">
      <c r="A51" s="474">
        <v>10</v>
      </c>
      <c r="B51" s="752" t="s">
        <v>763</v>
      </c>
      <c r="C51" s="518"/>
      <c r="D51" s="478"/>
      <c r="E51" s="751">
        <v>82893.6682788958</v>
      </c>
      <c r="F51" s="751">
        <v>1242</v>
      </c>
      <c r="G51" s="751">
        <v>1937</v>
      </c>
      <c r="H51" s="346">
        <f t="shared" si="1"/>
        <v>0.93</v>
      </c>
    </row>
    <row r="52" spans="1:8" ht="19.5" customHeight="1">
      <c r="A52" s="474">
        <v>11</v>
      </c>
      <c r="B52" s="752" t="s">
        <v>763</v>
      </c>
      <c r="C52" s="518"/>
      <c r="D52" s="478"/>
      <c r="E52" s="751">
        <v>92099.7819749284</v>
      </c>
      <c r="F52" s="751">
        <v>1744</v>
      </c>
      <c r="G52" s="751">
        <v>2080</v>
      </c>
      <c r="H52" s="346">
        <f t="shared" si="1"/>
        <v>1</v>
      </c>
    </row>
    <row r="53" spans="1:8" ht="19.5" customHeight="1">
      <c r="A53" s="474">
        <v>12</v>
      </c>
      <c r="B53" s="752" t="s">
        <v>763</v>
      </c>
      <c r="C53" s="518"/>
      <c r="D53" s="478"/>
      <c r="E53" s="751">
        <v>57724.2934190708</v>
      </c>
      <c r="F53" s="751">
        <v>952</v>
      </c>
      <c r="G53" s="751">
        <v>1716</v>
      </c>
      <c r="H53" s="346">
        <f t="shared" si="1"/>
        <v>0.83</v>
      </c>
    </row>
    <row r="54" spans="1:8" ht="19.5" customHeight="1">
      <c r="A54" s="474">
        <v>13</v>
      </c>
      <c r="B54" s="752" t="s">
        <v>763</v>
      </c>
      <c r="C54" s="518"/>
      <c r="D54" s="478"/>
      <c r="E54" s="751">
        <v>86367.0988829626</v>
      </c>
      <c r="F54" s="751">
        <v>1133</v>
      </c>
      <c r="G54" s="751">
        <v>1803</v>
      </c>
      <c r="H54" s="346">
        <f t="shared" si="1"/>
        <v>0.87</v>
      </c>
    </row>
    <row r="55" spans="1:8" ht="19.5" customHeight="1">
      <c r="A55" s="474">
        <v>14</v>
      </c>
      <c r="B55" s="752" t="s">
        <v>763</v>
      </c>
      <c r="C55" s="544"/>
      <c r="D55" s="545"/>
      <c r="E55" s="751">
        <v>86048.6057457568</v>
      </c>
      <c r="F55" s="751">
        <v>2027</v>
      </c>
      <c r="G55" s="751">
        <v>2059</v>
      </c>
      <c r="H55" s="346">
        <f t="shared" si="1"/>
        <v>0.99</v>
      </c>
    </row>
    <row r="56" spans="1:8" ht="19.5" customHeight="1">
      <c r="A56" s="474">
        <v>15</v>
      </c>
      <c r="B56" s="752" t="s">
        <v>763</v>
      </c>
      <c r="C56" s="544"/>
      <c r="D56" s="545"/>
      <c r="E56" s="751">
        <v>46683.7272402747</v>
      </c>
      <c r="F56" s="751">
        <v>1043</v>
      </c>
      <c r="G56" s="751">
        <v>1025</v>
      </c>
      <c r="H56" s="346">
        <f t="shared" si="1"/>
        <v>0.49</v>
      </c>
    </row>
    <row r="57" spans="1:8" ht="19.5" customHeight="1">
      <c r="A57" s="474">
        <v>16</v>
      </c>
      <c r="B57" s="752" t="s">
        <v>763</v>
      </c>
      <c r="C57" s="518"/>
      <c r="D57" s="478"/>
      <c r="E57" s="751">
        <v>10715.3862429086</v>
      </c>
      <c r="F57" s="751">
        <v>143</v>
      </c>
      <c r="G57" s="751">
        <v>252</v>
      </c>
      <c r="H57" s="346">
        <f t="shared" si="1"/>
        <v>0.12</v>
      </c>
    </row>
    <row r="58" spans="1:8" ht="19.5" customHeight="1">
      <c r="A58" s="474">
        <v>17</v>
      </c>
      <c r="B58" s="752" t="s">
        <v>763</v>
      </c>
      <c r="C58" s="518"/>
      <c r="D58" s="478"/>
      <c r="E58" s="751">
        <v>86937.9092593105</v>
      </c>
      <c r="F58" s="751">
        <v>2104</v>
      </c>
      <c r="G58" s="751">
        <v>2080</v>
      </c>
      <c r="H58" s="346">
        <f t="shared" si="1"/>
        <v>1</v>
      </c>
    </row>
    <row r="59" spans="1:8" ht="19.5" customHeight="1">
      <c r="A59" s="474">
        <v>18</v>
      </c>
      <c r="B59" s="752" t="s">
        <v>763</v>
      </c>
      <c r="C59" s="518"/>
      <c r="D59" s="478"/>
      <c r="E59" s="751">
        <v>9672.42884853822</v>
      </c>
      <c r="F59" s="751">
        <v>328</v>
      </c>
      <c r="G59" s="751">
        <v>249</v>
      </c>
      <c r="H59" s="346">
        <f t="shared" si="1"/>
        <v>0.12</v>
      </c>
    </row>
    <row r="60" spans="1:8" ht="19.5" customHeight="1">
      <c r="A60" s="474">
        <v>19</v>
      </c>
      <c r="B60" s="752" t="s">
        <v>763</v>
      </c>
      <c r="C60" s="518"/>
      <c r="D60" s="478"/>
      <c r="E60" s="751">
        <v>69267.2854988085</v>
      </c>
      <c r="F60" s="751">
        <v>1404</v>
      </c>
      <c r="G60" s="751">
        <v>1560</v>
      </c>
      <c r="H60" s="346">
        <f t="shared" si="1"/>
        <v>0.75</v>
      </c>
    </row>
    <row r="61" spans="1:8" ht="19.5" customHeight="1">
      <c r="A61" s="474">
        <v>20</v>
      </c>
      <c r="B61" s="752" t="s">
        <v>763</v>
      </c>
      <c r="C61" s="518"/>
      <c r="D61" s="478"/>
      <c r="E61" s="751">
        <v>28901.2700795996</v>
      </c>
      <c r="F61" s="751">
        <v>154</v>
      </c>
      <c r="G61" s="751">
        <v>729</v>
      </c>
      <c r="H61" s="346">
        <f t="shared" si="1"/>
        <v>0.35</v>
      </c>
    </row>
    <row r="62" spans="1:8" ht="19.5" customHeight="1">
      <c r="A62" s="474">
        <v>21</v>
      </c>
      <c r="B62" s="752" t="s">
        <v>763</v>
      </c>
      <c r="C62" s="518"/>
      <c r="D62" s="478"/>
      <c r="E62" s="751">
        <v>53707.1762110861</v>
      </c>
      <c r="F62" s="751">
        <v>953</v>
      </c>
      <c r="G62" s="751">
        <v>1201</v>
      </c>
      <c r="H62" s="346">
        <f t="shared" si="1"/>
        <v>0.58</v>
      </c>
    </row>
    <row r="63" spans="1:8" ht="19.5" customHeight="1">
      <c r="A63" s="474">
        <v>22</v>
      </c>
      <c r="B63" s="752" t="s">
        <v>763</v>
      </c>
      <c r="C63" s="518"/>
      <c r="D63" s="478"/>
      <c r="E63" s="751">
        <v>77520.342093857</v>
      </c>
      <c r="F63" s="751">
        <v>1036</v>
      </c>
      <c r="G63" s="751">
        <v>1560</v>
      </c>
      <c r="H63" s="346">
        <f t="shared" si="1"/>
        <v>0.75</v>
      </c>
    </row>
    <row r="64" spans="1:8" ht="19.5" customHeight="1">
      <c r="A64" s="474">
        <v>23</v>
      </c>
      <c r="B64" s="752" t="s">
        <v>763</v>
      </c>
      <c r="C64" s="544"/>
      <c r="D64" s="545"/>
      <c r="E64" s="751">
        <v>79824.2139507365</v>
      </c>
      <c r="F64" s="751">
        <v>861</v>
      </c>
      <c r="G64" s="751">
        <v>2080</v>
      </c>
      <c r="H64" s="346">
        <f>ROUND(G64/2080,2)</f>
        <v>1</v>
      </c>
    </row>
    <row r="65" spans="1:8" ht="19.5" customHeight="1">
      <c r="A65" s="474">
        <v>24</v>
      </c>
      <c r="B65" s="752" t="s">
        <v>763</v>
      </c>
      <c r="C65" s="544"/>
      <c r="D65" s="545"/>
      <c r="E65" s="751">
        <v>64164.1589049416</v>
      </c>
      <c r="F65" s="751">
        <v>1256</v>
      </c>
      <c r="G65" s="751">
        <v>1465</v>
      </c>
      <c r="H65" s="346">
        <f>ROUND(G65/2080,2)</f>
        <v>0.7</v>
      </c>
    </row>
    <row r="66" spans="1:8" ht="19.5" customHeight="1">
      <c r="A66" s="474">
        <v>25</v>
      </c>
      <c r="B66" s="752" t="s">
        <v>763</v>
      </c>
      <c r="C66" s="544"/>
      <c r="D66" s="545"/>
      <c r="E66" s="751">
        <v>98931.8175168122</v>
      </c>
      <c r="F66" s="751">
        <v>1390</v>
      </c>
      <c r="G66" s="751">
        <v>2080</v>
      </c>
      <c r="H66" s="346">
        <f>ROUND(G66/2080,2)</f>
        <v>1</v>
      </c>
    </row>
    <row r="67" spans="1:8" ht="19.5" customHeight="1">
      <c r="A67" s="474">
        <v>26</v>
      </c>
      <c r="B67" s="752" t="s">
        <v>763</v>
      </c>
      <c r="C67" s="544"/>
      <c r="D67" s="655"/>
      <c r="E67" s="751">
        <v>61937.5770772681</v>
      </c>
      <c r="F67" s="751">
        <v>764</v>
      </c>
      <c r="G67" s="751">
        <v>1520</v>
      </c>
      <c r="H67" s="346">
        <f>ROUND(G67/2080,2)</f>
        <v>0.73</v>
      </c>
    </row>
    <row r="68" spans="1:8" ht="24.75" customHeight="1" thickBot="1">
      <c r="A68" s="293"/>
      <c r="B68" s="945" t="s">
        <v>258</v>
      </c>
      <c r="C68" s="979"/>
      <c r="D68" s="947"/>
      <c r="E68" s="352">
        <f>SUM(E42:E67)</f>
        <v>1751972.907469682</v>
      </c>
      <c r="F68" s="352">
        <f>SUM(F42:F67)</f>
        <v>28296</v>
      </c>
      <c r="G68" s="352">
        <f>SUM(G42:G67)</f>
        <v>40547.325</v>
      </c>
      <c r="H68" s="344">
        <f>ROUND(G68/2080,2)</f>
        <v>19.49</v>
      </c>
    </row>
    <row r="69" spans="1:8" s="146" customFormat="1" ht="19.5" customHeight="1" thickTop="1">
      <c r="A69" s="293"/>
      <c r="B69" s="375"/>
      <c r="C69" s="375"/>
      <c r="D69" s="375"/>
      <c r="E69" s="487"/>
      <c r="F69" s="294"/>
      <c r="G69" s="295"/>
      <c r="H69" s="300"/>
    </row>
    <row r="70" spans="1:8" ht="19.5" customHeight="1">
      <c r="A70" s="207" t="s">
        <v>91</v>
      </c>
      <c r="B70" s="971" t="s">
        <v>346</v>
      </c>
      <c r="C70" s="972"/>
      <c r="D70" s="973"/>
      <c r="E70" s="338"/>
      <c r="F70" s="338"/>
      <c r="G70" s="390"/>
      <c r="H70" s="391"/>
    </row>
    <row r="71" spans="1:8" ht="19.5" customHeight="1">
      <c r="A71" s="770">
        <v>1</v>
      </c>
      <c r="B71" s="769" t="s">
        <v>738</v>
      </c>
      <c r="C71" s="544"/>
      <c r="D71" s="545"/>
      <c r="E71" s="698" t="s">
        <v>559</v>
      </c>
      <c r="F71" s="747">
        <v>1257</v>
      </c>
      <c r="G71" s="694">
        <f aca="true" t="shared" si="2" ref="G71:G79">F71*1.126</f>
        <v>1415.3819999999998</v>
      </c>
      <c r="H71" s="695">
        <f>ROUND(G71/2080,2)</f>
        <v>0.68</v>
      </c>
    </row>
    <row r="72" spans="1:8" ht="19.5" customHeight="1">
      <c r="A72" s="770">
        <f>A71+1</f>
        <v>2</v>
      </c>
      <c r="B72" s="769" t="s">
        <v>739</v>
      </c>
      <c r="C72" s="544"/>
      <c r="D72" s="545"/>
      <c r="E72" s="698" t="s">
        <v>559</v>
      </c>
      <c r="F72" s="747">
        <v>175</v>
      </c>
      <c r="G72" s="694">
        <f t="shared" si="2"/>
        <v>197.04999999999998</v>
      </c>
      <c r="H72" s="695">
        <f aca="true" t="shared" si="3" ref="H72:H80">ROUND(G72/2080,2)</f>
        <v>0.09</v>
      </c>
    </row>
    <row r="73" spans="1:8" ht="19.5" customHeight="1">
      <c r="A73" s="474">
        <f aca="true" t="shared" si="4" ref="A73:A79">+A72+1</f>
        <v>3</v>
      </c>
      <c r="B73" s="769" t="s">
        <v>740</v>
      </c>
      <c r="C73" s="544"/>
      <c r="D73" s="545"/>
      <c r="E73" s="698" t="s">
        <v>559</v>
      </c>
      <c r="F73" s="747">
        <v>71</v>
      </c>
      <c r="G73" s="694">
        <f t="shared" si="2"/>
        <v>79.946</v>
      </c>
      <c r="H73" s="695">
        <f t="shared" si="3"/>
        <v>0.04</v>
      </c>
    </row>
    <row r="74" spans="1:8" ht="19.5" customHeight="1">
      <c r="A74" s="474">
        <f t="shared" si="4"/>
        <v>4</v>
      </c>
      <c r="B74" s="769" t="s">
        <v>740</v>
      </c>
      <c r="C74" s="544"/>
      <c r="D74" s="545"/>
      <c r="E74" s="698" t="s">
        <v>559</v>
      </c>
      <c r="F74" s="747">
        <v>68</v>
      </c>
      <c r="G74" s="694">
        <f t="shared" si="2"/>
        <v>76.568</v>
      </c>
      <c r="H74" s="695">
        <f t="shared" si="3"/>
        <v>0.04</v>
      </c>
    </row>
    <row r="75" spans="1:8" ht="19.5" customHeight="1">
      <c r="A75" s="474">
        <f t="shared" si="4"/>
        <v>5</v>
      </c>
      <c r="B75" s="769" t="s">
        <v>741</v>
      </c>
      <c r="C75" s="544"/>
      <c r="D75" s="545"/>
      <c r="E75" s="698" t="s">
        <v>559</v>
      </c>
      <c r="F75" s="747">
        <v>66</v>
      </c>
      <c r="G75" s="694">
        <f t="shared" si="2"/>
        <v>74.31599999999999</v>
      </c>
      <c r="H75" s="695">
        <f t="shared" si="3"/>
        <v>0.04</v>
      </c>
    </row>
    <row r="76" spans="1:8" ht="19.5" customHeight="1">
      <c r="A76" s="474">
        <f t="shared" si="4"/>
        <v>6</v>
      </c>
      <c r="B76" s="769" t="s">
        <v>740</v>
      </c>
      <c r="C76" s="544"/>
      <c r="D76" s="545"/>
      <c r="E76" s="698" t="s">
        <v>559</v>
      </c>
      <c r="F76" s="747">
        <v>60</v>
      </c>
      <c r="G76" s="694">
        <f t="shared" si="2"/>
        <v>67.55999999999999</v>
      </c>
      <c r="H76" s="695">
        <f t="shared" si="3"/>
        <v>0.03</v>
      </c>
    </row>
    <row r="77" spans="1:8" ht="19.5" customHeight="1">
      <c r="A77" s="474">
        <f t="shared" si="4"/>
        <v>7</v>
      </c>
      <c r="B77" s="769" t="s">
        <v>740</v>
      </c>
      <c r="C77" s="544"/>
      <c r="D77" s="545"/>
      <c r="E77" s="698" t="s">
        <v>559</v>
      </c>
      <c r="F77" s="747">
        <v>54</v>
      </c>
      <c r="G77" s="694">
        <f t="shared" si="2"/>
        <v>60.803999999999995</v>
      </c>
      <c r="H77" s="695">
        <f t="shared" si="3"/>
        <v>0.03</v>
      </c>
    </row>
    <row r="78" spans="1:8" ht="19.5" customHeight="1">
      <c r="A78" s="474">
        <f t="shared" si="4"/>
        <v>8</v>
      </c>
      <c r="B78" s="769" t="s">
        <v>740</v>
      </c>
      <c r="C78" s="544"/>
      <c r="D78" s="545"/>
      <c r="E78" s="698" t="s">
        <v>559</v>
      </c>
      <c r="F78" s="747">
        <v>35</v>
      </c>
      <c r="G78" s="694">
        <f t="shared" si="2"/>
        <v>39.41</v>
      </c>
      <c r="H78" s="695">
        <f t="shared" si="3"/>
        <v>0.02</v>
      </c>
    </row>
    <row r="79" spans="1:8" ht="19.5" customHeight="1">
      <c r="A79" s="474">
        <f t="shared" si="4"/>
        <v>9</v>
      </c>
      <c r="B79" s="769" t="s">
        <v>740</v>
      </c>
      <c r="C79" s="544"/>
      <c r="D79" s="545"/>
      <c r="E79" s="698" t="s">
        <v>559</v>
      </c>
      <c r="F79" s="747">
        <v>32</v>
      </c>
      <c r="G79" s="694">
        <f t="shared" si="2"/>
        <v>36.032</v>
      </c>
      <c r="H79" s="695">
        <f t="shared" si="3"/>
        <v>0.02</v>
      </c>
    </row>
    <row r="80" spans="1:8" ht="24.75" customHeight="1" thickBot="1">
      <c r="A80" s="293"/>
      <c r="B80" s="945" t="s">
        <v>347</v>
      </c>
      <c r="C80" s="946"/>
      <c r="D80" s="947"/>
      <c r="E80" s="352">
        <f>SUM(E71:E79)</f>
        <v>0</v>
      </c>
      <c r="F80" s="352">
        <f>SUM(F71:F79)</f>
        <v>1818</v>
      </c>
      <c r="G80" s="352">
        <f>SUM(G71:G79)</f>
        <v>2047.0679999999998</v>
      </c>
      <c r="H80" s="344">
        <f t="shared" si="3"/>
        <v>0.98</v>
      </c>
    </row>
    <row r="81" spans="1:8" ht="14.25" customHeight="1" thickBot="1" thickTop="1">
      <c r="A81" s="301"/>
      <c r="B81" s="309"/>
      <c r="C81" s="309"/>
      <c r="D81" s="309"/>
      <c r="E81" s="310"/>
      <c r="F81" s="311"/>
      <c r="G81" s="312"/>
      <c r="H81" s="313"/>
    </row>
    <row r="84" spans="5:8" ht="12">
      <c r="E84" s="550"/>
      <c r="F84" s="550"/>
      <c r="G84" s="550"/>
      <c r="H84" s="1053"/>
    </row>
  </sheetData>
  <sheetProtection/>
  <mergeCells count="16">
    <mergeCell ref="A13:D15"/>
    <mergeCell ref="G13:H13"/>
    <mergeCell ref="B17:D17"/>
    <mergeCell ref="B18:D18"/>
    <mergeCell ref="A1:H1"/>
    <mergeCell ref="A2:H2"/>
    <mergeCell ref="A3:H3"/>
    <mergeCell ref="A4:H4"/>
    <mergeCell ref="C8:G8"/>
    <mergeCell ref="A12:H12"/>
    <mergeCell ref="B80:D80"/>
    <mergeCell ref="B70:D70"/>
    <mergeCell ref="B68:D68"/>
    <mergeCell ref="B39:D39"/>
    <mergeCell ref="B40:D40"/>
    <mergeCell ref="B41:D41"/>
  </mergeCells>
  <printOptions/>
  <pageMargins left="0.7" right="0.7" top="0.75" bottom="0.75" header="0.3" footer="0.3"/>
  <pageSetup fitToHeight="0" fitToWidth="1" horizontalDpi="600" verticalDpi="600" orientation="portrait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1"/>
  <sheetViews>
    <sheetView zoomScalePageLayoutView="0" workbookViewId="0" topLeftCell="A37">
      <selection activeCell="F35" sqref="F35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3.5">
      <c r="A1" s="877" t="s">
        <v>45</v>
      </c>
      <c r="B1" s="877"/>
      <c r="C1" s="877"/>
      <c r="D1" s="877"/>
      <c r="E1" s="877"/>
      <c r="F1" s="877"/>
      <c r="G1" s="877"/>
      <c r="H1" s="877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877" t="s">
        <v>46</v>
      </c>
      <c r="B2" s="877"/>
      <c r="C2" s="877"/>
      <c r="D2" s="877"/>
      <c r="E2" s="877"/>
      <c r="F2" s="877"/>
      <c r="G2" s="877"/>
      <c r="H2" s="877"/>
      <c r="I2" s="75"/>
      <c r="J2" s="75"/>
      <c r="K2" s="75"/>
      <c r="L2" s="75"/>
      <c r="M2" s="75"/>
      <c r="N2" s="75"/>
      <c r="O2" s="75"/>
      <c r="P2" s="75"/>
      <c r="Q2" s="75"/>
    </row>
    <row r="3" spans="1:17" ht="13.5">
      <c r="A3" s="877" t="s">
        <v>47</v>
      </c>
      <c r="B3" s="877"/>
      <c r="C3" s="877"/>
      <c r="D3" s="877"/>
      <c r="E3" s="877"/>
      <c r="F3" s="877"/>
      <c r="G3" s="877"/>
      <c r="H3" s="877"/>
      <c r="I3" s="75"/>
      <c r="J3" s="75"/>
      <c r="K3" s="75"/>
      <c r="L3" s="75"/>
      <c r="M3" s="75"/>
      <c r="N3" s="75"/>
      <c r="O3" s="75"/>
      <c r="P3" s="75"/>
      <c r="Q3" s="75"/>
    </row>
    <row r="4" spans="1:17" ht="13.5">
      <c r="A4" s="877" t="s">
        <v>48</v>
      </c>
      <c r="B4" s="877"/>
      <c r="C4" s="877"/>
      <c r="D4" s="877"/>
      <c r="E4" s="877"/>
      <c r="F4" s="877"/>
      <c r="G4" s="877"/>
      <c r="H4" s="87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148"/>
      <c r="G6" s="95" t="str">
        <f>'P1 Info &amp; Certification'!M20</f>
        <v>To</v>
      </c>
      <c r="H6" s="443">
        <f>'P1 Info &amp; Certification'!N20</f>
        <v>44012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963" t="s">
        <v>283</v>
      </c>
      <c r="B12" s="964"/>
      <c r="C12" s="964"/>
      <c r="D12" s="964"/>
      <c r="E12" s="964"/>
      <c r="F12" s="964"/>
      <c r="G12" s="964"/>
      <c r="H12" s="966"/>
    </row>
    <row r="13" spans="1:8" ht="12.75">
      <c r="A13" s="948" t="s">
        <v>282</v>
      </c>
      <c r="B13" s="949"/>
      <c r="C13" s="949"/>
      <c r="D13" s="974"/>
      <c r="E13" s="366"/>
      <c r="F13" s="413"/>
      <c r="G13" s="967" t="s">
        <v>271</v>
      </c>
      <c r="H13" s="968"/>
    </row>
    <row r="14" spans="1:8" ht="12.75">
      <c r="A14" s="950"/>
      <c r="B14" s="951"/>
      <c r="C14" s="951"/>
      <c r="D14" s="951"/>
      <c r="E14" s="364"/>
      <c r="F14" s="414"/>
      <c r="G14" s="169" t="s">
        <v>272</v>
      </c>
      <c r="H14" s="204" t="s">
        <v>203</v>
      </c>
    </row>
    <row r="15" spans="1:8" ht="12.75" customHeight="1">
      <c r="A15" s="952"/>
      <c r="B15" s="953"/>
      <c r="C15" s="953"/>
      <c r="D15" s="953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2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969" t="s">
        <v>280</v>
      </c>
      <c r="C17" s="970"/>
      <c r="D17" s="970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962" t="s">
        <v>210</v>
      </c>
      <c r="C18" s="953"/>
      <c r="D18" s="980"/>
      <c r="E18" s="102"/>
      <c r="F18" s="102"/>
      <c r="G18" s="292"/>
      <c r="H18" s="299"/>
    </row>
    <row r="19" spans="1:8" ht="19.5" customHeight="1">
      <c r="A19" s="474" t="s">
        <v>49</v>
      </c>
      <c r="B19" s="942" t="s">
        <v>482</v>
      </c>
      <c r="C19" s="943"/>
      <c r="D19" s="944"/>
      <c r="E19" s="340">
        <f>+'P5 Form A-3 - Mental Health'!D19</f>
        <v>2282059.042623769</v>
      </c>
      <c r="F19" s="476">
        <f>+'Form B-3 Detail'!F52</f>
        <v>28575</v>
      </c>
      <c r="G19" s="394">
        <f>+'Form B-3 Detail'!G52</f>
        <v>53972.565431012816</v>
      </c>
      <c r="H19" s="343">
        <f>ROUND(G19/2080,2)</f>
        <v>25.95</v>
      </c>
    </row>
    <row r="20" spans="1:8" ht="19.5" customHeight="1">
      <c r="A20" s="474" t="s">
        <v>50</v>
      </c>
      <c r="B20" s="942"/>
      <c r="C20" s="943"/>
      <c r="D20" s="944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942"/>
      <c r="C21" s="943"/>
      <c r="D21" s="944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942"/>
      <c r="C22" s="943"/>
      <c r="D22" s="944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942"/>
      <c r="C23" s="943"/>
      <c r="D23" s="944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945" t="s">
        <v>259</v>
      </c>
      <c r="C24" s="946"/>
      <c r="D24" s="947"/>
      <c r="E24" s="352">
        <f>SUM(E19:E23)</f>
        <v>2282059.042623769</v>
      </c>
      <c r="F24" s="352">
        <f>SUM(F19:F23)</f>
        <v>28575</v>
      </c>
      <c r="G24" s="352">
        <f>SUM(G19:G23)</f>
        <v>53972.565431012816</v>
      </c>
      <c r="H24" s="344">
        <f>SUM(H19:H23)</f>
        <v>25.95</v>
      </c>
    </row>
    <row r="25" spans="1:9" ht="19.5" customHeight="1" thickTop="1">
      <c r="A25" s="253"/>
      <c r="B25" s="978"/>
      <c r="C25" s="978"/>
      <c r="D25" s="978"/>
      <c r="E25" s="487"/>
      <c r="F25" s="294"/>
      <c r="G25" s="295"/>
      <c r="H25" s="300"/>
      <c r="I25" s="146"/>
    </row>
    <row r="26" spans="1:8" ht="19.5" customHeight="1">
      <c r="A26" s="207" t="s">
        <v>84</v>
      </c>
      <c r="B26" s="971" t="s">
        <v>211</v>
      </c>
      <c r="C26" s="972"/>
      <c r="D26" s="973"/>
      <c r="E26" s="338"/>
      <c r="F26" s="338"/>
      <c r="G26" s="390"/>
      <c r="H26" s="391"/>
    </row>
    <row r="27" spans="1:8" ht="19.5" customHeight="1">
      <c r="A27" s="474" t="s">
        <v>49</v>
      </c>
      <c r="B27" s="942" t="s">
        <v>482</v>
      </c>
      <c r="C27" s="943"/>
      <c r="D27" s="944"/>
      <c r="E27" s="392">
        <f>+'P5 Form A-3 - Mental Health'!D20</f>
        <v>9388864.562004838</v>
      </c>
      <c r="F27" s="480">
        <f>+'Form B-3 Detail'!F223</f>
        <v>127056</v>
      </c>
      <c r="G27" s="392">
        <f>+'Form B-3 Detail'!G223</f>
        <v>285252.0666666667</v>
      </c>
      <c r="H27" s="393">
        <f>ROUND(G27/2080,2)</f>
        <v>137.14</v>
      </c>
    </row>
    <row r="28" spans="1:8" ht="19.5" customHeight="1">
      <c r="A28" s="474" t="s">
        <v>50</v>
      </c>
      <c r="B28" s="954"/>
      <c r="C28" s="955"/>
      <c r="D28" s="956"/>
      <c r="E28" s="394"/>
      <c r="F28" s="477"/>
      <c r="G28" s="394"/>
      <c r="H28" s="393">
        <f>ROUND(G28/2080,2)</f>
        <v>0</v>
      </c>
    </row>
    <row r="29" spans="1:8" ht="19.5" customHeight="1">
      <c r="A29" s="474" t="s">
        <v>82</v>
      </c>
      <c r="B29" s="954"/>
      <c r="C29" s="955"/>
      <c r="D29" s="956"/>
      <c r="E29" s="394"/>
      <c r="F29" s="477"/>
      <c r="G29" s="394"/>
      <c r="H29" s="393">
        <f>ROUND(G29/2080,2)</f>
        <v>0</v>
      </c>
    </row>
    <row r="30" spans="1:8" ht="19.5" customHeight="1">
      <c r="A30" s="474" t="s">
        <v>51</v>
      </c>
      <c r="B30" s="954"/>
      <c r="C30" s="955"/>
      <c r="D30" s="956"/>
      <c r="E30" s="394"/>
      <c r="F30" s="477"/>
      <c r="G30" s="394"/>
      <c r="H30" s="393">
        <f>ROUND(G30/2080,2)</f>
        <v>0</v>
      </c>
    </row>
    <row r="31" spans="1:8" ht="19.5" customHeight="1">
      <c r="A31" s="474" t="s">
        <v>156</v>
      </c>
      <c r="B31" s="954"/>
      <c r="C31" s="955"/>
      <c r="D31" s="956"/>
      <c r="E31" s="394"/>
      <c r="F31" s="477"/>
      <c r="G31" s="394"/>
      <c r="H31" s="393">
        <f>ROUND(G31/2080,2)</f>
        <v>0</v>
      </c>
    </row>
    <row r="32" spans="1:8" ht="24.75" customHeight="1" thickBot="1">
      <c r="A32" s="293"/>
      <c r="B32" s="957" t="s">
        <v>260</v>
      </c>
      <c r="C32" s="958"/>
      <c r="D32" s="959"/>
      <c r="E32" s="473">
        <f>SUM(E27:E31)</f>
        <v>9388864.562004838</v>
      </c>
      <c r="F32" s="473">
        <f>SUM(F27:F31)</f>
        <v>127056</v>
      </c>
      <c r="G32" s="473">
        <f>SUM(G27:G31)</f>
        <v>285252.0666666667</v>
      </c>
      <c r="H32" s="395">
        <f>SUM(H27:H31)</f>
        <v>137.14</v>
      </c>
    </row>
    <row r="33" spans="1:8" s="146" customFormat="1" ht="19.5" customHeight="1" thickTop="1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>
      <c r="A34" s="207" t="s">
        <v>91</v>
      </c>
      <c r="B34" s="971" t="s">
        <v>304</v>
      </c>
      <c r="C34" s="972"/>
      <c r="D34" s="973"/>
      <c r="E34" s="338"/>
      <c r="F34" s="338"/>
      <c r="G34" s="390"/>
      <c r="H34" s="391"/>
    </row>
    <row r="35" spans="1:8" ht="19.5" customHeight="1">
      <c r="A35" s="474" t="s">
        <v>49</v>
      </c>
      <c r="B35" s="942" t="s">
        <v>482</v>
      </c>
      <c r="C35" s="943"/>
      <c r="D35" s="944"/>
      <c r="E35" s="345">
        <f>+'Form B-3 Detail'!E292</f>
        <v>3536339.225474086</v>
      </c>
      <c r="F35" s="345">
        <f>+'Form B-3 Detail'!F292</f>
        <v>35930</v>
      </c>
      <c r="G35" s="345">
        <f>+'Form B-3 Detail'!G292</f>
        <v>66745.70666666665</v>
      </c>
      <c r="H35" s="346">
        <f>ROUND(G35/2080,2)</f>
        <v>32.09</v>
      </c>
    </row>
    <row r="36" spans="1:8" ht="19.5" customHeight="1">
      <c r="A36" s="474" t="s">
        <v>50</v>
      </c>
      <c r="B36" s="942"/>
      <c r="C36" s="943"/>
      <c r="D36" s="944"/>
      <c r="E36" s="340"/>
      <c r="F36" s="477"/>
      <c r="G36" s="394"/>
      <c r="H36" s="346">
        <f>ROUND(G36/2080,2)</f>
        <v>0</v>
      </c>
    </row>
    <row r="37" spans="1:8" ht="19.5" customHeight="1">
      <c r="A37" s="474" t="s">
        <v>82</v>
      </c>
      <c r="B37" s="942"/>
      <c r="C37" s="943"/>
      <c r="D37" s="944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942"/>
      <c r="C38" s="943"/>
      <c r="D38" s="944"/>
      <c r="E38" s="340"/>
      <c r="F38" s="477"/>
      <c r="G38" s="394"/>
      <c r="H38" s="346">
        <f>ROUND(G38/2080,2)</f>
        <v>0</v>
      </c>
    </row>
    <row r="39" spans="1:8" ht="19.5" customHeight="1">
      <c r="A39" s="488" t="s">
        <v>156</v>
      </c>
      <c r="B39" s="954"/>
      <c r="C39" s="955"/>
      <c r="D39" s="956"/>
      <c r="E39" s="394"/>
      <c r="F39" s="477"/>
      <c r="G39" s="394"/>
      <c r="H39" s="393">
        <f>ROUND(G39/2080,2)</f>
        <v>0</v>
      </c>
    </row>
    <row r="40" spans="1:8" ht="24.75" customHeight="1" thickBot="1">
      <c r="A40" s="399"/>
      <c r="B40" s="957" t="s">
        <v>348</v>
      </c>
      <c r="C40" s="958"/>
      <c r="D40" s="959"/>
      <c r="E40" s="473">
        <f>SUM(E35:E39)</f>
        <v>3536339.225474086</v>
      </c>
      <c r="F40" s="473">
        <f>SUM(F35:F39)</f>
        <v>35930</v>
      </c>
      <c r="G40" s="473">
        <f>SUM(G35:G39)</f>
        <v>66745.70666666665</v>
      </c>
      <c r="H40" s="395">
        <f>SUM(H35:H39)</f>
        <v>32.09</v>
      </c>
    </row>
    <row r="41" spans="1:8" ht="19.5" customHeight="1" thickBot="1" thickTop="1">
      <c r="A41" s="400"/>
      <c r="B41" s="401"/>
      <c r="C41" s="401"/>
      <c r="D41" s="401"/>
      <c r="E41" s="312"/>
      <c r="F41" s="311"/>
      <c r="G41" s="312"/>
      <c r="H41" s="402"/>
    </row>
  </sheetData>
  <sheetProtection password="E1AE" sheet="1" formatColumns="0" formatRows="0"/>
  <mergeCells count="31">
    <mergeCell ref="B40:D40"/>
    <mergeCell ref="B39:D39"/>
    <mergeCell ref="B30:D30"/>
    <mergeCell ref="B26:D26"/>
    <mergeCell ref="B35:D35"/>
    <mergeCell ref="B37:D37"/>
    <mergeCell ref="B38:D38"/>
    <mergeCell ref="B32:D32"/>
    <mergeCell ref="B36:D36"/>
    <mergeCell ref="B27:D27"/>
    <mergeCell ref="B18:D18"/>
    <mergeCell ref="B17:D17"/>
    <mergeCell ref="B22:D22"/>
    <mergeCell ref="A12:H12"/>
    <mergeCell ref="B23:D23"/>
    <mergeCell ref="B20:D20"/>
    <mergeCell ref="A1:H1"/>
    <mergeCell ref="A2:H2"/>
    <mergeCell ref="A3:H3"/>
    <mergeCell ref="A4:H4"/>
    <mergeCell ref="C8:G8"/>
    <mergeCell ref="A13:D15"/>
    <mergeCell ref="G13:H13"/>
    <mergeCell ref="B25:D25"/>
    <mergeCell ref="B28:D28"/>
    <mergeCell ref="B19:D19"/>
    <mergeCell ref="B31:D31"/>
    <mergeCell ref="B29:D29"/>
    <mergeCell ref="B34:D34"/>
    <mergeCell ref="B21:D21"/>
    <mergeCell ref="B24:D24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82" r:id="rId1"/>
  <headerFooter alignWithMargins="0">
    <oddFooter>&amp;LDSS-16 10-24-2016&amp;RPage 11</oddFooter>
  </headerFooter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298"/>
  <sheetViews>
    <sheetView zoomScalePageLayoutView="0" workbookViewId="0" topLeftCell="A280">
      <selection activeCell="E295" sqref="E295:H295"/>
    </sheetView>
  </sheetViews>
  <sheetFormatPr defaultColWidth="9.140625" defaultRowHeight="12.75"/>
  <cols>
    <col min="1" max="1" width="4.00390625" style="155" bestFit="1" customWidth="1"/>
    <col min="2" max="2" width="18.2812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9" width="7.140625" style="14" customWidth="1"/>
    <col min="10" max="12" width="9.140625" style="14" customWidth="1"/>
    <col min="13" max="13" width="11.28125" style="549" bestFit="1" customWidth="1"/>
    <col min="14" max="16384" width="9.140625" style="14" customWidth="1"/>
  </cols>
  <sheetData>
    <row r="1" spans="1:12" ht="13.5">
      <c r="A1" s="877" t="s">
        <v>45</v>
      </c>
      <c r="B1" s="877"/>
      <c r="C1" s="877"/>
      <c r="D1" s="877"/>
      <c r="E1" s="877"/>
      <c r="F1" s="877"/>
      <c r="G1" s="877"/>
      <c r="H1" s="877"/>
      <c r="I1" s="75"/>
      <c r="J1" s="75"/>
      <c r="K1" s="75"/>
      <c r="L1" s="75"/>
    </row>
    <row r="2" spans="1:12" ht="13.5">
      <c r="A2" s="877" t="s">
        <v>46</v>
      </c>
      <c r="B2" s="877"/>
      <c r="C2" s="877"/>
      <c r="D2" s="877"/>
      <c r="E2" s="877"/>
      <c r="F2" s="877"/>
      <c r="G2" s="877"/>
      <c r="H2" s="877"/>
      <c r="I2" s="75"/>
      <c r="J2" s="75"/>
      <c r="K2" s="75"/>
      <c r="L2" s="75"/>
    </row>
    <row r="3" spans="1:12" ht="13.5">
      <c r="A3" s="877" t="s">
        <v>47</v>
      </c>
      <c r="B3" s="877"/>
      <c r="C3" s="877"/>
      <c r="D3" s="877"/>
      <c r="E3" s="877"/>
      <c r="F3" s="877"/>
      <c r="G3" s="877"/>
      <c r="H3" s="877"/>
      <c r="I3" s="75"/>
      <c r="J3" s="75"/>
      <c r="K3" s="75"/>
      <c r="L3" s="75"/>
    </row>
    <row r="4" spans="1:12" ht="13.5">
      <c r="A4" s="877" t="s">
        <v>48</v>
      </c>
      <c r="B4" s="877"/>
      <c r="C4" s="877"/>
      <c r="D4" s="877"/>
      <c r="E4" s="877"/>
      <c r="F4" s="877"/>
      <c r="G4" s="877"/>
      <c r="H4" s="877"/>
      <c r="I4" s="75"/>
      <c r="J4" s="75"/>
      <c r="K4" s="75"/>
      <c r="L4" s="75"/>
    </row>
    <row r="5" spans="1:12" ht="13.5" thickBot="1">
      <c r="A5" s="151"/>
      <c r="B5" s="12"/>
      <c r="C5" s="12"/>
      <c r="D5" s="12"/>
      <c r="E5" s="514"/>
      <c r="F5" s="514"/>
      <c r="G5" s="514"/>
      <c r="H5" s="514"/>
      <c r="I5" s="514"/>
      <c r="J5" s="514"/>
      <c r="K5" s="514"/>
      <c r="L5" s="514"/>
    </row>
    <row r="6" spans="1:14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148"/>
      <c r="G6" s="95" t="str">
        <f>'P1 Info &amp; Certification'!M20</f>
        <v>To</v>
      </c>
      <c r="H6" s="516">
        <f>'P1 Info &amp; Certification'!N20</f>
        <v>44012</v>
      </c>
      <c r="I6" s="147"/>
      <c r="J6" s="147"/>
      <c r="K6" s="147"/>
      <c r="L6" s="529"/>
      <c r="N6" s="146"/>
    </row>
    <row r="7" spans="1:14" ht="12.75">
      <c r="A7" s="153"/>
      <c r="B7" s="529"/>
      <c r="C7" s="529"/>
      <c r="D7" s="529"/>
      <c r="E7" s="13"/>
      <c r="F7" s="13"/>
      <c r="G7" s="13"/>
      <c r="H7" s="81"/>
      <c r="I7" s="13"/>
      <c r="J7" s="13"/>
      <c r="K7" s="13"/>
      <c r="L7" s="13"/>
      <c r="N7" s="146"/>
    </row>
    <row r="8" spans="1:14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464"/>
      <c r="I8" s="528"/>
      <c r="J8" s="528"/>
      <c r="K8" s="528"/>
      <c r="L8" s="528"/>
      <c r="N8" s="146"/>
    </row>
    <row r="9" spans="1:14" ht="13.5">
      <c r="A9" s="471"/>
      <c r="B9" s="515"/>
      <c r="C9" s="515"/>
      <c r="D9" s="515"/>
      <c r="E9" s="515"/>
      <c r="F9" s="515"/>
      <c r="G9" s="515"/>
      <c r="H9" s="515"/>
      <c r="I9" s="530"/>
      <c r="J9" s="530"/>
      <c r="K9" s="530"/>
      <c r="L9" s="530"/>
      <c r="M9" s="552"/>
      <c r="N9" s="146"/>
    </row>
    <row r="10" spans="1:13" ht="13.5">
      <c r="A10" s="156"/>
      <c r="B10" s="146"/>
      <c r="C10" s="146"/>
      <c r="D10" s="146"/>
      <c r="E10" s="146"/>
      <c r="F10" s="146"/>
      <c r="G10" s="146"/>
      <c r="H10" s="146"/>
      <c r="M10" s="552"/>
    </row>
    <row r="11" spans="1:13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  <c r="M11" s="552"/>
    </row>
    <row r="12" spans="1:13" ht="28.5" customHeight="1">
      <c r="A12" s="963" t="s">
        <v>283</v>
      </c>
      <c r="B12" s="964"/>
      <c r="C12" s="964"/>
      <c r="D12" s="964"/>
      <c r="E12" s="964"/>
      <c r="F12" s="964"/>
      <c r="G12" s="964"/>
      <c r="H12" s="966"/>
      <c r="M12" s="551"/>
    </row>
    <row r="13" spans="1:13" ht="13.5">
      <c r="A13" s="948" t="s">
        <v>282</v>
      </c>
      <c r="B13" s="949"/>
      <c r="C13" s="949"/>
      <c r="D13" s="974"/>
      <c r="E13" s="366"/>
      <c r="F13" s="413"/>
      <c r="G13" s="967" t="s">
        <v>271</v>
      </c>
      <c r="H13" s="968"/>
      <c r="M13" s="552"/>
    </row>
    <row r="14" spans="1:13" ht="12.75">
      <c r="A14" s="950"/>
      <c r="B14" s="951"/>
      <c r="C14" s="951"/>
      <c r="D14" s="951"/>
      <c r="E14" s="364"/>
      <c r="F14" s="414"/>
      <c r="G14" s="169" t="s">
        <v>272</v>
      </c>
      <c r="H14" s="204" t="s">
        <v>203</v>
      </c>
      <c r="M14" s="551"/>
    </row>
    <row r="15" spans="1:8" ht="12.75" customHeight="1">
      <c r="A15" s="952"/>
      <c r="B15" s="953"/>
      <c r="C15" s="953"/>
      <c r="D15" s="953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20"/>
      <c r="B16" s="521"/>
      <c r="C16" s="521"/>
      <c r="D16" s="521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969" t="s">
        <v>280</v>
      </c>
      <c r="C17" s="970"/>
      <c r="D17" s="970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962" t="s">
        <v>210</v>
      </c>
      <c r="C18" s="953"/>
      <c r="D18" s="980"/>
      <c r="E18" s="102"/>
      <c r="F18" s="102"/>
      <c r="G18" s="292"/>
      <c r="H18" s="299"/>
    </row>
    <row r="19" spans="1:9" ht="19.5" customHeight="1">
      <c r="A19" s="474">
        <v>1</v>
      </c>
      <c r="B19" s="543" t="s">
        <v>210</v>
      </c>
      <c r="C19" s="544"/>
      <c r="D19" s="545"/>
      <c r="E19" s="756">
        <v>42276.9945979956</v>
      </c>
      <c r="F19" s="757">
        <v>622</v>
      </c>
      <c r="G19" s="685">
        <v>1712</v>
      </c>
      <c r="H19" s="343">
        <f aca="true" t="shared" si="0" ref="H19:H47">ROUND(G19/2080,2)</f>
        <v>0.82</v>
      </c>
      <c r="I19" s="549"/>
    </row>
    <row r="20" spans="1:9" ht="19.5" customHeight="1">
      <c r="A20" s="474">
        <v>2</v>
      </c>
      <c r="B20" s="543" t="s">
        <v>210</v>
      </c>
      <c r="C20" s="544"/>
      <c r="D20" s="545"/>
      <c r="E20" s="756">
        <v>42570.603073441</v>
      </c>
      <c r="F20" s="757">
        <v>988</v>
      </c>
      <c r="G20" s="685">
        <v>1724</v>
      </c>
      <c r="H20" s="343">
        <f t="shared" si="0"/>
        <v>0.83</v>
      </c>
      <c r="I20" s="549"/>
    </row>
    <row r="21" spans="1:9" ht="19.5" customHeight="1">
      <c r="A21" s="474">
        <v>3</v>
      </c>
      <c r="B21" s="543" t="s">
        <v>210</v>
      </c>
      <c r="C21" s="544"/>
      <c r="D21" s="545"/>
      <c r="E21" s="756">
        <v>87651.28</v>
      </c>
      <c r="F21" s="757">
        <v>570</v>
      </c>
      <c r="G21" s="685">
        <v>2080</v>
      </c>
      <c r="H21" s="343">
        <f t="shared" si="0"/>
        <v>1</v>
      </c>
      <c r="I21" s="549"/>
    </row>
    <row r="22" spans="1:9" ht="19.5" customHeight="1">
      <c r="A22" s="474">
        <v>4</v>
      </c>
      <c r="B22" s="543" t="s">
        <v>210</v>
      </c>
      <c r="C22" s="544"/>
      <c r="D22" s="545"/>
      <c r="E22" s="756">
        <v>20556.8170581264</v>
      </c>
      <c r="F22" s="757">
        <v>223</v>
      </c>
      <c r="G22" s="685">
        <v>520</v>
      </c>
      <c r="H22" s="343">
        <f t="shared" si="0"/>
        <v>0.25</v>
      </c>
      <c r="I22" s="549"/>
    </row>
    <row r="23" spans="1:9" ht="19.5" customHeight="1">
      <c r="A23" s="474">
        <v>5</v>
      </c>
      <c r="B23" s="543" t="s">
        <v>210</v>
      </c>
      <c r="C23" s="544"/>
      <c r="D23" s="545"/>
      <c r="E23" s="756">
        <v>10128.4542697393</v>
      </c>
      <c r="F23" s="757">
        <v>106</v>
      </c>
      <c r="G23" s="685">
        <v>414</v>
      </c>
      <c r="H23" s="343">
        <f t="shared" si="0"/>
        <v>0.2</v>
      </c>
      <c r="I23" s="684"/>
    </row>
    <row r="24" spans="1:9" ht="19.5" customHeight="1">
      <c r="A24" s="474">
        <v>6</v>
      </c>
      <c r="B24" s="543" t="s">
        <v>210</v>
      </c>
      <c r="C24" s="544"/>
      <c r="D24" s="545"/>
      <c r="E24" s="756">
        <v>89829.2423336993</v>
      </c>
      <c r="F24" s="757">
        <v>1684</v>
      </c>
      <c r="G24" s="685">
        <v>2080</v>
      </c>
      <c r="H24" s="343">
        <f t="shared" si="0"/>
        <v>1</v>
      </c>
      <c r="I24" s="684"/>
    </row>
    <row r="25" spans="1:9" ht="19.5" customHeight="1">
      <c r="A25" s="474">
        <v>7</v>
      </c>
      <c r="B25" s="543" t="s">
        <v>210</v>
      </c>
      <c r="C25" s="544"/>
      <c r="D25" s="545"/>
      <c r="E25" s="756">
        <v>78147.59</v>
      </c>
      <c r="F25" s="757">
        <v>1770</v>
      </c>
      <c r="G25" s="685">
        <v>2080</v>
      </c>
      <c r="H25" s="343">
        <f t="shared" si="0"/>
        <v>1</v>
      </c>
      <c r="I25" s="684"/>
    </row>
    <row r="26" spans="1:9" ht="19.5" customHeight="1">
      <c r="A26" s="474">
        <v>8</v>
      </c>
      <c r="B26" s="543" t="s">
        <v>210</v>
      </c>
      <c r="C26" s="544"/>
      <c r="D26" s="545"/>
      <c r="E26" s="756">
        <v>83767.4608621743</v>
      </c>
      <c r="F26" s="757">
        <v>808</v>
      </c>
      <c r="G26" s="685">
        <v>2080</v>
      </c>
      <c r="H26" s="343">
        <f t="shared" si="0"/>
        <v>1</v>
      </c>
      <c r="I26" s="684"/>
    </row>
    <row r="27" spans="1:9" ht="19.5" customHeight="1">
      <c r="A27" s="474">
        <v>9</v>
      </c>
      <c r="B27" s="543" t="s">
        <v>210</v>
      </c>
      <c r="C27" s="544"/>
      <c r="D27" s="545"/>
      <c r="E27" s="756">
        <v>4458.68000981496</v>
      </c>
      <c r="F27" s="757">
        <v>6</v>
      </c>
      <c r="G27" s="685">
        <v>135</v>
      </c>
      <c r="H27" s="343">
        <f t="shared" si="0"/>
        <v>0.06</v>
      </c>
      <c r="I27" s="684"/>
    </row>
    <row r="28" spans="1:9" ht="19.5" customHeight="1">
      <c r="A28" s="474">
        <v>10</v>
      </c>
      <c r="B28" s="687" t="s">
        <v>210</v>
      </c>
      <c r="C28" s="675"/>
      <c r="D28" s="676"/>
      <c r="E28" s="756">
        <v>70662.64675738479</v>
      </c>
      <c r="F28" s="757">
        <v>1467</v>
      </c>
      <c r="G28" s="685">
        <v>2080</v>
      </c>
      <c r="H28" s="688">
        <f t="shared" si="0"/>
        <v>1</v>
      </c>
      <c r="I28" s="684"/>
    </row>
    <row r="29" spans="1:9" ht="19.5" customHeight="1">
      <c r="A29" s="474">
        <v>11</v>
      </c>
      <c r="B29" s="687" t="s">
        <v>210</v>
      </c>
      <c r="C29" s="675"/>
      <c r="D29" s="676"/>
      <c r="E29" s="756">
        <v>19713.2422911124</v>
      </c>
      <c r="F29" s="757">
        <v>294</v>
      </c>
      <c r="G29" s="685">
        <v>416</v>
      </c>
      <c r="H29" s="688">
        <f t="shared" si="0"/>
        <v>0.2</v>
      </c>
      <c r="I29" s="684"/>
    </row>
    <row r="30" spans="1:9" ht="19.5" customHeight="1">
      <c r="A30" s="474">
        <v>12</v>
      </c>
      <c r="B30" s="543" t="s">
        <v>210</v>
      </c>
      <c r="C30" s="544"/>
      <c r="D30" s="545"/>
      <c r="E30" s="756">
        <v>87401.45605680642</v>
      </c>
      <c r="F30" s="757">
        <v>1466</v>
      </c>
      <c r="G30" s="685">
        <v>1739.5654310128136</v>
      </c>
      <c r="H30" s="343">
        <f t="shared" si="0"/>
        <v>0.84</v>
      </c>
      <c r="I30" s="549"/>
    </row>
    <row r="31" spans="1:9" ht="19.5" customHeight="1">
      <c r="A31" s="474">
        <v>13</v>
      </c>
      <c r="B31" s="543" t="s">
        <v>210</v>
      </c>
      <c r="C31" s="664"/>
      <c r="D31" s="665"/>
      <c r="E31" s="756">
        <v>88678.7058494281</v>
      </c>
      <c r="F31" s="757">
        <v>1686</v>
      </c>
      <c r="G31" s="685">
        <v>2080</v>
      </c>
      <c r="H31" s="393">
        <f t="shared" si="0"/>
        <v>1</v>
      </c>
      <c r="I31" s="549"/>
    </row>
    <row r="32" spans="1:9" ht="19.5" customHeight="1">
      <c r="A32" s="474">
        <v>14</v>
      </c>
      <c r="B32" s="543" t="s">
        <v>210</v>
      </c>
      <c r="C32" s="547"/>
      <c r="D32" s="548"/>
      <c r="E32" s="756">
        <v>71862.2213871906</v>
      </c>
      <c r="F32" s="758">
        <v>845</v>
      </c>
      <c r="G32" s="685">
        <v>2080</v>
      </c>
      <c r="H32" s="393">
        <f t="shared" si="0"/>
        <v>1</v>
      </c>
      <c r="I32" s="549"/>
    </row>
    <row r="33" spans="1:9" ht="19.5" customHeight="1">
      <c r="A33" s="474">
        <v>15</v>
      </c>
      <c r="B33" s="543" t="s">
        <v>210</v>
      </c>
      <c r="C33" s="664"/>
      <c r="D33" s="665"/>
      <c r="E33" s="756">
        <v>218454.272840638</v>
      </c>
      <c r="F33" s="757">
        <v>247</v>
      </c>
      <c r="G33" s="685">
        <v>2080</v>
      </c>
      <c r="H33" s="393">
        <f t="shared" si="0"/>
        <v>1</v>
      </c>
      <c r="I33" s="549"/>
    </row>
    <row r="34" spans="1:9" ht="19.5" customHeight="1">
      <c r="A34" s="474">
        <v>16</v>
      </c>
      <c r="B34" s="543" t="s">
        <v>210</v>
      </c>
      <c r="C34" s="682"/>
      <c r="D34" s="683"/>
      <c r="E34" s="756">
        <v>32034.7629729108</v>
      </c>
      <c r="F34" s="757">
        <v>404</v>
      </c>
      <c r="G34" s="685">
        <v>766</v>
      </c>
      <c r="H34" s="393">
        <f t="shared" si="0"/>
        <v>0.37</v>
      </c>
      <c r="I34" s="549"/>
    </row>
    <row r="35" spans="1:9" ht="19.5" customHeight="1">
      <c r="A35" s="474">
        <f>1+A34</f>
        <v>17</v>
      </c>
      <c r="B35" s="543" t="s">
        <v>210</v>
      </c>
      <c r="C35" s="682"/>
      <c r="D35" s="683"/>
      <c r="E35" s="756">
        <v>89642.4292594203</v>
      </c>
      <c r="F35" s="757">
        <v>1441</v>
      </c>
      <c r="G35" s="685">
        <v>2080</v>
      </c>
      <c r="H35" s="393">
        <f t="shared" si="0"/>
        <v>1</v>
      </c>
      <c r="I35" s="549"/>
    </row>
    <row r="36" spans="1:9" ht="19.5" customHeight="1">
      <c r="A36" s="474">
        <f aca="true" t="shared" si="1" ref="A36:A51">1+A35</f>
        <v>18</v>
      </c>
      <c r="B36" s="543" t="s">
        <v>210</v>
      </c>
      <c r="C36" s="682"/>
      <c r="D36" s="683"/>
      <c r="E36" s="756">
        <v>8896.51593485065</v>
      </c>
      <c r="F36" s="757">
        <v>98</v>
      </c>
      <c r="G36" s="685">
        <v>354</v>
      </c>
      <c r="H36" s="393">
        <f t="shared" si="0"/>
        <v>0.17</v>
      </c>
      <c r="I36" s="549"/>
    </row>
    <row r="37" spans="1:9" ht="19.5" customHeight="1">
      <c r="A37" s="474">
        <f t="shared" si="1"/>
        <v>19</v>
      </c>
      <c r="B37" s="543" t="s">
        <v>210</v>
      </c>
      <c r="C37" s="682"/>
      <c r="D37" s="683"/>
      <c r="E37" s="756">
        <v>112367.6924221733</v>
      </c>
      <c r="F37" s="757">
        <v>944</v>
      </c>
      <c r="G37" s="685">
        <v>2080</v>
      </c>
      <c r="H37" s="393">
        <f t="shared" si="0"/>
        <v>1</v>
      </c>
      <c r="I37" s="549"/>
    </row>
    <row r="38" spans="1:9" ht="19.5" customHeight="1">
      <c r="A38" s="474">
        <f t="shared" si="1"/>
        <v>20</v>
      </c>
      <c r="B38" s="543" t="s">
        <v>210</v>
      </c>
      <c r="C38" s="682"/>
      <c r="D38" s="683"/>
      <c r="E38" s="756">
        <v>83866.5415093062</v>
      </c>
      <c r="F38" s="757">
        <v>593</v>
      </c>
      <c r="G38" s="685">
        <v>2080</v>
      </c>
      <c r="H38" s="393">
        <f t="shared" si="0"/>
        <v>1</v>
      </c>
      <c r="I38" s="549"/>
    </row>
    <row r="39" spans="1:9" ht="19.5" customHeight="1">
      <c r="A39" s="474">
        <f t="shared" si="1"/>
        <v>21</v>
      </c>
      <c r="B39" s="543" t="s">
        <v>210</v>
      </c>
      <c r="C39" s="682"/>
      <c r="D39" s="683"/>
      <c r="E39" s="756">
        <v>42570.603073441</v>
      </c>
      <c r="F39" s="757">
        <v>795</v>
      </c>
      <c r="G39" s="685">
        <v>1386.6666666666667</v>
      </c>
      <c r="H39" s="393">
        <f t="shared" si="0"/>
        <v>0.67</v>
      </c>
      <c r="I39" s="549"/>
    </row>
    <row r="40" spans="1:9" ht="19.5" customHeight="1">
      <c r="A40" s="474">
        <f t="shared" si="1"/>
        <v>22</v>
      </c>
      <c r="B40" s="543" t="s">
        <v>210</v>
      </c>
      <c r="C40" s="682"/>
      <c r="D40" s="683"/>
      <c r="E40" s="756">
        <v>76779.6284277972</v>
      </c>
      <c r="F40" s="757">
        <v>1166</v>
      </c>
      <c r="G40" s="685">
        <v>2080</v>
      </c>
      <c r="H40" s="393">
        <f t="shared" si="0"/>
        <v>1</v>
      </c>
      <c r="I40" s="549"/>
    </row>
    <row r="41" spans="1:9" ht="19.5" customHeight="1">
      <c r="A41" s="474">
        <f t="shared" si="1"/>
        <v>23</v>
      </c>
      <c r="B41" s="543" t="s">
        <v>210</v>
      </c>
      <c r="C41" s="682"/>
      <c r="D41" s="683"/>
      <c r="E41" s="756">
        <v>110823.103261214</v>
      </c>
      <c r="F41" s="757">
        <v>420</v>
      </c>
      <c r="G41" s="685">
        <v>2080</v>
      </c>
      <c r="H41" s="393">
        <f t="shared" si="0"/>
        <v>1</v>
      </c>
      <c r="I41" s="549"/>
    </row>
    <row r="42" spans="1:9" ht="19.5" customHeight="1">
      <c r="A42" s="474">
        <f t="shared" si="1"/>
        <v>24</v>
      </c>
      <c r="B42" s="543" t="s">
        <v>210</v>
      </c>
      <c r="C42" s="682"/>
      <c r="D42" s="683"/>
      <c r="E42" s="756">
        <v>68724.6268502436</v>
      </c>
      <c r="F42" s="757">
        <v>641</v>
      </c>
      <c r="G42" s="685">
        <v>1820</v>
      </c>
      <c r="H42" s="393">
        <f t="shared" si="0"/>
        <v>0.88</v>
      </c>
      <c r="I42" s="549"/>
    </row>
    <row r="43" spans="1:9" ht="19.5" customHeight="1">
      <c r="A43" s="474">
        <f t="shared" si="1"/>
        <v>25</v>
      </c>
      <c r="B43" s="543" t="s">
        <v>210</v>
      </c>
      <c r="C43" s="682"/>
      <c r="D43" s="683"/>
      <c r="E43" s="756">
        <v>80911.5973363478</v>
      </c>
      <c r="F43" s="757">
        <v>783</v>
      </c>
      <c r="G43" s="685">
        <v>1560</v>
      </c>
      <c r="H43" s="393">
        <f t="shared" si="0"/>
        <v>0.75</v>
      </c>
      <c r="I43" s="549"/>
    </row>
    <row r="44" spans="1:9" ht="19.5" customHeight="1">
      <c r="A44" s="474">
        <f t="shared" si="1"/>
        <v>26</v>
      </c>
      <c r="B44" s="543" t="s">
        <v>210</v>
      </c>
      <c r="C44" s="682"/>
      <c r="D44" s="683"/>
      <c r="E44" s="756">
        <v>72520.4385018609</v>
      </c>
      <c r="F44" s="757">
        <v>1646</v>
      </c>
      <c r="G44" s="685">
        <v>2080</v>
      </c>
      <c r="H44" s="393">
        <f t="shared" si="0"/>
        <v>1</v>
      </c>
      <c r="I44" s="549"/>
    </row>
    <row r="45" spans="1:9" ht="19.5" customHeight="1">
      <c r="A45" s="474">
        <f t="shared" si="1"/>
        <v>27</v>
      </c>
      <c r="B45" s="543" t="s">
        <v>210</v>
      </c>
      <c r="C45" s="682"/>
      <c r="D45" s="683"/>
      <c r="E45" s="756">
        <v>48536.8050526994</v>
      </c>
      <c r="F45" s="757">
        <v>265</v>
      </c>
      <c r="G45" s="685">
        <v>1040</v>
      </c>
      <c r="H45" s="393">
        <f t="shared" si="0"/>
        <v>0.5</v>
      </c>
      <c r="I45" s="549"/>
    </row>
    <row r="46" spans="1:9" ht="19.5" customHeight="1">
      <c r="A46" s="474">
        <f t="shared" si="1"/>
        <v>28</v>
      </c>
      <c r="B46" s="543" t="s">
        <v>210</v>
      </c>
      <c r="C46" s="682"/>
      <c r="D46" s="683"/>
      <c r="E46" s="756">
        <v>96541.6381213936</v>
      </c>
      <c r="F46" s="757">
        <v>1321</v>
      </c>
      <c r="G46" s="685">
        <v>2080</v>
      </c>
      <c r="H46" s="393">
        <f t="shared" si="0"/>
        <v>1</v>
      </c>
      <c r="I46" s="549"/>
    </row>
    <row r="47" spans="1:9" ht="19.5" customHeight="1">
      <c r="A47" s="474">
        <f t="shared" si="1"/>
        <v>29</v>
      </c>
      <c r="B47" s="543" t="s">
        <v>210</v>
      </c>
      <c r="C47" s="682"/>
      <c r="D47" s="683"/>
      <c r="E47" s="756">
        <v>82489.4477363698</v>
      </c>
      <c r="F47" s="757">
        <v>1318</v>
      </c>
      <c r="G47" s="685">
        <v>2080</v>
      </c>
      <c r="H47" s="393">
        <f t="shared" si="0"/>
        <v>1</v>
      </c>
      <c r="I47" s="549"/>
    </row>
    <row r="48" spans="1:9" ht="19.5" customHeight="1">
      <c r="A48" s="474">
        <f t="shared" si="1"/>
        <v>30</v>
      </c>
      <c r="B48" s="543" t="s">
        <v>210</v>
      </c>
      <c r="C48" s="681"/>
      <c r="D48" s="479"/>
      <c r="E48" s="751">
        <v>102976.323119397</v>
      </c>
      <c r="F48" s="751">
        <v>1229</v>
      </c>
      <c r="G48" s="751">
        <v>1560</v>
      </c>
      <c r="H48" s="393">
        <f>ROUND(G48/2080,2)</f>
        <v>0.75</v>
      </c>
      <c r="I48" s="549"/>
    </row>
    <row r="49" spans="1:13" ht="19.5" customHeight="1">
      <c r="A49" s="474">
        <f t="shared" si="1"/>
        <v>31</v>
      </c>
      <c r="B49" s="543" t="s">
        <v>210</v>
      </c>
      <c r="C49" s="682"/>
      <c r="D49" s="683"/>
      <c r="E49" s="751">
        <v>42766.3420570713</v>
      </c>
      <c r="F49" s="751">
        <v>800</v>
      </c>
      <c r="G49" s="751">
        <v>1732</v>
      </c>
      <c r="H49" s="393">
        <f>ROUND(G49/2080,2)</f>
        <v>0.83</v>
      </c>
      <c r="I49" s="549"/>
      <c r="L49" s="549"/>
      <c r="M49" s="14"/>
    </row>
    <row r="50" spans="1:13" ht="19.5" customHeight="1">
      <c r="A50" s="474">
        <f t="shared" si="1"/>
        <v>32</v>
      </c>
      <c r="B50" s="543" t="s">
        <v>210</v>
      </c>
      <c r="C50" s="767"/>
      <c r="D50" s="768"/>
      <c r="E50" s="751">
        <v>42590.1749362489</v>
      </c>
      <c r="F50" s="751">
        <v>696</v>
      </c>
      <c r="G50" s="751">
        <v>1733.3333333333335</v>
      </c>
      <c r="H50" s="393">
        <f>ROUND(G50/2080,2)</f>
        <v>0.83</v>
      </c>
      <c r="I50" s="549"/>
      <c r="L50" s="549"/>
      <c r="M50" s="14"/>
    </row>
    <row r="51" spans="1:13" ht="19.5" customHeight="1">
      <c r="A51" s="474">
        <f t="shared" si="1"/>
        <v>33</v>
      </c>
      <c r="B51" s="543" t="s">
        <v>210</v>
      </c>
      <c r="C51" s="682"/>
      <c r="D51" s="683"/>
      <c r="E51" s="751">
        <v>70860.7046634718</v>
      </c>
      <c r="F51" s="751">
        <v>1233</v>
      </c>
      <c r="G51" s="751">
        <v>2080</v>
      </c>
      <c r="H51" s="393">
        <f>ROUND(G51/2080,2)</f>
        <v>1</v>
      </c>
      <c r="I51" s="549"/>
      <c r="L51" s="549"/>
      <c r="M51" s="14"/>
    </row>
    <row r="52" spans="1:9" ht="24.75" customHeight="1" thickBot="1">
      <c r="A52" s="253"/>
      <c r="B52" s="945" t="s">
        <v>259</v>
      </c>
      <c r="C52" s="946"/>
      <c r="D52" s="947"/>
      <c r="E52" s="352">
        <f>SUM(E19:E51)</f>
        <v>2282059.042623768</v>
      </c>
      <c r="F52" s="352">
        <f>SUM(F19:F51)</f>
        <v>28575</v>
      </c>
      <c r="G52" s="352">
        <f>SUM(G19:G51)</f>
        <v>53972.565431012816</v>
      </c>
      <c r="H52" s="395">
        <f>ROUND(G52/2080,2)</f>
        <v>25.95</v>
      </c>
      <c r="I52" s="549"/>
    </row>
    <row r="53" spans="1:9" ht="19.5" customHeight="1" thickTop="1">
      <c r="A53" s="253"/>
      <c r="B53" s="978"/>
      <c r="C53" s="978"/>
      <c r="D53" s="978"/>
      <c r="E53" s="487"/>
      <c r="F53" s="294"/>
      <c r="G53" s="295"/>
      <c r="H53" s="300"/>
      <c r="I53" s="549"/>
    </row>
    <row r="54" spans="1:9" ht="19.5" customHeight="1">
      <c r="A54" s="207" t="s">
        <v>84</v>
      </c>
      <c r="B54" s="971" t="s">
        <v>211</v>
      </c>
      <c r="C54" s="972"/>
      <c r="D54" s="973"/>
      <c r="E54" s="338"/>
      <c r="F54" s="338"/>
      <c r="G54" s="390"/>
      <c r="H54" s="391"/>
      <c r="I54" s="549"/>
    </row>
    <row r="55" spans="1:13" ht="19.5" customHeight="1">
      <c r="A55" s="474">
        <v>1</v>
      </c>
      <c r="B55" s="752" t="s">
        <v>560</v>
      </c>
      <c r="C55" s="664"/>
      <c r="D55" s="665"/>
      <c r="E55" s="751">
        <v>70631.6977631342</v>
      </c>
      <c r="F55" s="751">
        <v>1272</v>
      </c>
      <c r="G55" s="751">
        <v>2080</v>
      </c>
      <c r="H55" s="393">
        <f aca="true" t="shared" si="2" ref="H55:H86">ROUND(G55/2080,2)</f>
        <v>1</v>
      </c>
      <c r="I55" s="549"/>
      <c r="L55" s="549"/>
      <c r="M55" s="14"/>
    </row>
    <row r="56" spans="1:13" ht="19.5" customHeight="1">
      <c r="A56" s="474">
        <v>2</v>
      </c>
      <c r="B56" s="752" t="s">
        <v>737</v>
      </c>
      <c r="C56" s="605"/>
      <c r="D56" s="606"/>
      <c r="E56" s="751">
        <v>26239.4967377285</v>
      </c>
      <c r="F56" s="751"/>
      <c r="G56" s="751">
        <v>1040</v>
      </c>
      <c r="H56" s="393">
        <f t="shared" si="2"/>
        <v>0.5</v>
      </c>
      <c r="I56" s="549"/>
      <c r="L56" s="549"/>
      <c r="M56" s="14"/>
    </row>
    <row r="57" spans="1:13" ht="19.5" customHeight="1">
      <c r="A57" s="474">
        <v>3</v>
      </c>
      <c r="B57" s="752" t="s">
        <v>737</v>
      </c>
      <c r="C57" s="689"/>
      <c r="D57" s="690"/>
      <c r="E57" s="751">
        <v>11561.077987283</v>
      </c>
      <c r="F57" s="751"/>
      <c r="G57" s="751">
        <v>520</v>
      </c>
      <c r="H57" s="393">
        <f t="shared" si="2"/>
        <v>0.25</v>
      </c>
      <c r="I57" s="549"/>
      <c r="L57" s="549"/>
      <c r="M57" s="14"/>
    </row>
    <row r="58" spans="1:13" ht="19.5" customHeight="1">
      <c r="A58" s="474">
        <v>4</v>
      </c>
      <c r="B58" s="752" t="s">
        <v>730</v>
      </c>
      <c r="C58" s="605"/>
      <c r="D58" s="606"/>
      <c r="E58" s="751">
        <v>58792.0947640985</v>
      </c>
      <c r="F58" s="751">
        <v>56</v>
      </c>
      <c r="G58" s="751">
        <v>2080</v>
      </c>
      <c r="H58" s="393">
        <f t="shared" si="2"/>
        <v>1</v>
      </c>
      <c r="I58" s="549"/>
      <c r="L58" s="549"/>
      <c r="M58" s="14"/>
    </row>
    <row r="59" spans="1:13" ht="19.5" customHeight="1">
      <c r="A59" s="474">
        <v>5</v>
      </c>
      <c r="B59" s="752" t="s">
        <v>483</v>
      </c>
      <c r="C59" s="664"/>
      <c r="D59" s="665"/>
      <c r="E59" s="751">
        <v>67014.5671429548</v>
      </c>
      <c r="F59" s="751">
        <v>983</v>
      </c>
      <c r="G59" s="751">
        <v>2080</v>
      </c>
      <c r="H59" s="393">
        <f t="shared" si="2"/>
        <v>1</v>
      </c>
      <c r="I59" s="549"/>
      <c r="L59" s="549"/>
      <c r="M59" s="14"/>
    </row>
    <row r="60" spans="1:13" ht="19.5" customHeight="1">
      <c r="A60" s="474">
        <v>6</v>
      </c>
      <c r="B60" s="752" t="s">
        <v>483</v>
      </c>
      <c r="C60" s="705"/>
      <c r="D60" s="706"/>
      <c r="E60" s="751">
        <v>71444.9936472291</v>
      </c>
      <c r="F60" s="751">
        <v>1120</v>
      </c>
      <c r="G60" s="751">
        <v>2080</v>
      </c>
      <c r="H60" s="393">
        <f t="shared" si="2"/>
        <v>1</v>
      </c>
      <c r="I60" s="549"/>
      <c r="L60" s="549"/>
      <c r="M60" s="14"/>
    </row>
    <row r="61" spans="1:13" ht="19.5" customHeight="1">
      <c r="A61" s="474">
        <v>7</v>
      </c>
      <c r="B61" s="752" t="s">
        <v>483</v>
      </c>
      <c r="C61" s="605"/>
      <c r="D61" s="606"/>
      <c r="E61" s="751">
        <v>2568.25993808598</v>
      </c>
      <c r="F61" s="751">
        <v>29</v>
      </c>
      <c r="G61" s="751">
        <v>61</v>
      </c>
      <c r="H61" s="393">
        <f t="shared" si="2"/>
        <v>0.03</v>
      </c>
      <c r="I61" s="549"/>
      <c r="L61" s="549"/>
      <c r="M61" s="14"/>
    </row>
    <row r="62" spans="1:13" ht="19.5" customHeight="1">
      <c r="A62" s="474">
        <v>8</v>
      </c>
      <c r="B62" s="752" t="s">
        <v>483</v>
      </c>
      <c r="C62" s="605"/>
      <c r="D62" s="606"/>
      <c r="E62" s="751">
        <v>17959.8965034689</v>
      </c>
      <c r="F62" s="751">
        <v>173</v>
      </c>
      <c r="G62" s="751">
        <v>520</v>
      </c>
      <c r="H62" s="393">
        <f t="shared" si="2"/>
        <v>0.25</v>
      </c>
      <c r="I62" s="549"/>
      <c r="L62" s="549"/>
      <c r="M62" s="14"/>
    </row>
    <row r="63" spans="1:13" ht="19.5" customHeight="1">
      <c r="A63" s="474">
        <v>9</v>
      </c>
      <c r="B63" s="752" t="s">
        <v>483</v>
      </c>
      <c r="C63" s="605"/>
      <c r="D63" s="606"/>
      <c r="E63" s="751">
        <v>33399.7859037827</v>
      </c>
      <c r="F63" s="751">
        <v>662</v>
      </c>
      <c r="G63" s="751">
        <v>1040</v>
      </c>
      <c r="H63" s="393">
        <f t="shared" si="2"/>
        <v>0.5</v>
      </c>
      <c r="I63" s="549"/>
      <c r="L63" s="549"/>
      <c r="M63" s="14"/>
    </row>
    <row r="64" spans="1:13" ht="19.5" customHeight="1">
      <c r="A64" s="474">
        <v>10</v>
      </c>
      <c r="B64" s="752" t="s">
        <v>483</v>
      </c>
      <c r="C64" s="605"/>
      <c r="D64" s="606"/>
      <c r="E64" s="751">
        <v>79053.0642361098</v>
      </c>
      <c r="F64" s="751">
        <v>651</v>
      </c>
      <c r="G64" s="751">
        <v>2080</v>
      </c>
      <c r="H64" s="393">
        <f t="shared" si="2"/>
        <v>1</v>
      </c>
      <c r="I64" s="549"/>
      <c r="L64" s="549"/>
      <c r="M64" s="14"/>
    </row>
    <row r="65" spans="1:13" ht="19.5" customHeight="1">
      <c r="A65" s="474">
        <v>11</v>
      </c>
      <c r="B65" s="752" t="s">
        <v>483</v>
      </c>
      <c r="C65" s="705"/>
      <c r="D65" s="706"/>
      <c r="E65" s="751">
        <v>4809.00922963289</v>
      </c>
      <c r="F65" s="751">
        <v>58</v>
      </c>
      <c r="G65" s="751">
        <v>173.33333333333334</v>
      </c>
      <c r="H65" s="393">
        <f t="shared" si="2"/>
        <v>0.08</v>
      </c>
      <c r="I65" s="549"/>
      <c r="L65" s="549"/>
      <c r="M65" s="14"/>
    </row>
    <row r="66" spans="1:13" ht="19.5" customHeight="1">
      <c r="A66" s="474">
        <v>12</v>
      </c>
      <c r="B66" s="752" t="s">
        <v>483</v>
      </c>
      <c r="C66" s="605"/>
      <c r="D66" s="606"/>
      <c r="E66" s="751">
        <v>80403.7263253686</v>
      </c>
      <c r="F66" s="751"/>
      <c r="G66" s="751">
        <v>2080</v>
      </c>
      <c r="H66" s="393">
        <f t="shared" si="2"/>
        <v>1</v>
      </c>
      <c r="I66" s="549"/>
      <c r="L66" s="549"/>
      <c r="M66" s="14"/>
    </row>
    <row r="67" spans="1:13" ht="19.5" customHeight="1">
      <c r="A67" s="474">
        <v>13</v>
      </c>
      <c r="B67" s="752" t="s">
        <v>483</v>
      </c>
      <c r="C67" s="605"/>
      <c r="D67" s="606"/>
      <c r="E67" s="751">
        <v>66897.6448548961</v>
      </c>
      <c r="F67" s="751">
        <v>1221</v>
      </c>
      <c r="G67" s="751">
        <v>2080</v>
      </c>
      <c r="H67" s="393">
        <f t="shared" si="2"/>
        <v>1</v>
      </c>
      <c r="I67" s="549"/>
      <c r="L67" s="549"/>
      <c r="M67" s="14"/>
    </row>
    <row r="68" spans="1:13" ht="19.5" customHeight="1">
      <c r="A68" s="474">
        <v>14</v>
      </c>
      <c r="B68" s="752" t="s">
        <v>483</v>
      </c>
      <c r="C68" s="605"/>
      <c r="D68" s="606"/>
      <c r="E68" s="751">
        <v>93408.3682320836</v>
      </c>
      <c r="F68" s="751">
        <v>1202</v>
      </c>
      <c r="G68" s="751">
        <v>2080</v>
      </c>
      <c r="H68" s="393">
        <f t="shared" si="2"/>
        <v>1</v>
      </c>
      <c r="I68" s="549"/>
      <c r="L68" s="549"/>
      <c r="M68" s="14"/>
    </row>
    <row r="69" spans="1:13" ht="19.5" customHeight="1">
      <c r="A69" s="474">
        <v>15</v>
      </c>
      <c r="B69" s="752" t="s">
        <v>483</v>
      </c>
      <c r="C69" s="605"/>
      <c r="D69" s="606"/>
      <c r="E69" s="751">
        <v>83581.2584544415</v>
      </c>
      <c r="F69" s="751">
        <v>1099</v>
      </c>
      <c r="G69" s="751">
        <v>2080</v>
      </c>
      <c r="H69" s="393">
        <f t="shared" si="2"/>
        <v>1</v>
      </c>
      <c r="I69" s="549"/>
      <c r="L69" s="549"/>
      <c r="M69" s="14"/>
    </row>
    <row r="70" spans="1:13" ht="19.5" customHeight="1">
      <c r="A70" s="474">
        <f>+A69+1</f>
        <v>16</v>
      </c>
      <c r="B70" s="752" t="s">
        <v>483</v>
      </c>
      <c r="C70" s="605"/>
      <c r="D70" s="606"/>
      <c r="E70" s="751">
        <v>78621.6995656021</v>
      </c>
      <c r="F70" s="751">
        <v>1179</v>
      </c>
      <c r="G70" s="751">
        <v>2080</v>
      </c>
      <c r="H70" s="393">
        <f t="shared" si="2"/>
        <v>1</v>
      </c>
      <c r="I70" s="549"/>
      <c r="L70" s="549"/>
      <c r="M70" s="14"/>
    </row>
    <row r="71" spans="1:13" ht="19.5" customHeight="1">
      <c r="A71" s="474">
        <f aca="true" t="shared" si="3" ref="A71:A134">+A70+1</f>
        <v>17</v>
      </c>
      <c r="B71" s="752" t="s">
        <v>483</v>
      </c>
      <c r="C71" s="605"/>
      <c r="D71" s="606"/>
      <c r="E71" s="751">
        <v>61536.6032452131</v>
      </c>
      <c r="F71" s="751">
        <v>549</v>
      </c>
      <c r="G71" s="751">
        <v>2080</v>
      </c>
      <c r="H71" s="393">
        <f t="shared" si="2"/>
        <v>1</v>
      </c>
      <c r="I71" s="549"/>
      <c r="L71" s="549"/>
      <c r="M71" s="14"/>
    </row>
    <row r="72" spans="1:13" ht="19.5" customHeight="1">
      <c r="A72" s="474">
        <f t="shared" si="3"/>
        <v>18</v>
      </c>
      <c r="B72" s="752" t="s">
        <v>483</v>
      </c>
      <c r="C72" s="605"/>
      <c r="D72" s="606"/>
      <c r="E72" s="751">
        <v>66402.5062414066</v>
      </c>
      <c r="F72" s="751">
        <v>913</v>
      </c>
      <c r="G72" s="751">
        <v>2080</v>
      </c>
      <c r="H72" s="393">
        <f t="shared" si="2"/>
        <v>1</v>
      </c>
      <c r="I72" s="549"/>
      <c r="L72" s="549"/>
      <c r="M72" s="14"/>
    </row>
    <row r="73" spans="1:13" ht="19.5" customHeight="1">
      <c r="A73" s="474">
        <f t="shared" si="3"/>
        <v>19</v>
      </c>
      <c r="B73" s="752" t="s">
        <v>483</v>
      </c>
      <c r="C73" s="605"/>
      <c r="D73" s="606"/>
      <c r="E73" s="751">
        <v>36852.2808230884</v>
      </c>
      <c r="F73" s="751">
        <v>141</v>
      </c>
      <c r="G73" s="751">
        <v>1040</v>
      </c>
      <c r="H73" s="393">
        <f t="shared" si="2"/>
        <v>0.5</v>
      </c>
      <c r="I73" s="549"/>
      <c r="L73" s="549"/>
      <c r="M73" s="14"/>
    </row>
    <row r="74" spans="1:13" ht="19.5" customHeight="1">
      <c r="A74" s="474">
        <f t="shared" si="3"/>
        <v>20</v>
      </c>
      <c r="B74" s="752" t="s">
        <v>483</v>
      </c>
      <c r="C74" s="605"/>
      <c r="D74" s="606"/>
      <c r="E74" s="751">
        <v>63794.0746223519</v>
      </c>
      <c r="F74" s="751">
        <v>972</v>
      </c>
      <c r="G74" s="751">
        <v>2080</v>
      </c>
      <c r="H74" s="393">
        <f t="shared" si="2"/>
        <v>1</v>
      </c>
      <c r="I74" s="549"/>
      <c r="L74" s="549"/>
      <c r="M74" s="14"/>
    </row>
    <row r="75" spans="1:13" ht="19.5" customHeight="1">
      <c r="A75" s="474">
        <f t="shared" si="3"/>
        <v>21</v>
      </c>
      <c r="B75" s="752" t="s">
        <v>483</v>
      </c>
      <c r="C75" s="664"/>
      <c r="D75" s="665"/>
      <c r="E75" s="751">
        <v>29118.1991923854</v>
      </c>
      <c r="F75" s="751">
        <v>381</v>
      </c>
      <c r="G75" s="751">
        <v>1325</v>
      </c>
      <c r="H75" s="373">
        <f t="shared" si="2"/>
        <v>0.64</v>
      </c>
      <c r="I75" s="549"/>
      <c r="L75" s="549"/>
      <c r="M75" s="14"/>
    </row>
    <row r="76" spans="1:13" ht="19.5" customHeight="1">
      <c r="A76" s="474">
        <f t="shared" si="3"/>
        <v>22</v>
      </c>
      <c r="B76" s="752" t="s">
        <v>483</v>
      </c>
      <c r="C76" s="605"/>
      <c r="D76" s="606"/>
      <c r="E76" s="751">
        <v>62639.8944943547</v>
      </c>
      <c r="F76" s="751">
        <v>1202</v>
      </c>
      <c r="G76" s="751">
        <v>1560</v>
      </c>
      <c r="H76" s="393">
        <f t="shared" si="2"/>
        <v>0.75</v>
      </c>
      <c r="I76" s="549"/>
      <c r="L76" s="549"/>
      <c r="M76" s="14"/>
    </row>
    <row r="77" spans="1:13" ht="19.5" customHeight="1">
      <c r="A77" s="474">
        <f t="shared" si="3"/>
        <v>23</v>
      </c>
      <c r="B77" s="752" t="s">
        <v>483</v>
      </c>
      <c r="C77" s="605"/>
      <c r="D77" s="606"/>
      <c r="E77" s="751">
        <v>75572.2140335058</v>
      </c>
      <c r="F77" s="751">
        <v>884</v>
      </c>
      <c r="G77" s="751">
        <v>2080</v>
      </c>
      <c r="H77" s="393">
        <f t="shared" si="2"/>
        <v>1</v>
      </c>
      <c r="I77" s="549"/>
      <c r="L77" s="549"/>
      <c r="M77" s="14"/>
    </row>
    <row r="78" spans="1:13" ht="19.5" customHeight="1">
      <c r="A78" s="474">
        <f t="shared" si="3"/>
        <v>24</v>
      </c>
      <c r="B78" s="752" t="s">
        <v>483</v>
      </c>
      <c r="C78" s="605"/>
      <c r="D78" s="606"/>
      <c r="E78" s="751">
        <v>53943.1072312366</v>
      </c>
      <c r="F78" s="751">
        <v>734</v>
      </c>
      <c r="G78" s="751">
        <v>2080</v>
      </c>
      <c r="H78" s="393">
        <f t="shared" si="2"/>
        <v>1</v>
      </c>
      <c r="I78" s="549"/>
      <c r="L78" s="549"/>
      <c r="M78" s="14"/>
    </row>
    <row r="79" spans="1:13" ht="19.5" customHeight="1">
      <c r="A79" s="474">
        <f t="shared" si="3"/>
        <v>25</v>
      </c>
      <c r="B79" s="752" t="s">
        <v>483</v>
      </c>
      <c r="C79" s="605"/>
      <c r="D79" s="606"/>
      <c r="E79" s="751">
        <v>73780.0807423985</v>
      </c>
      <c r="F79" s="751">
        <v>1432</v>
      </c>
      <c r="G79" s="751">
        <v>2080</v>
      </c>
      <c r="H79" s="393">
        <f t="shared" si="2"/>
        <v>1</v>
      </c>
      <c r="I79" s="549"/>
      <c r="L79" s="549"/>
      <c r="M79" s="14"/>
    </row>
    <row r="80" spans="1:13" ht="19.5" customHeight="1">
      <c r="A80" s="474">
        <f t="shared" si="3"/>
        <v>26</v>
      </c>
      <c r="B80" s="752" t="s">
        <v>483</v>
      </c>
      <c r="C80" s="605"/>
      <c r="D80" s="606"/>
      <c r="E80" s="751">
        <v>70687.3498410507</v>
      </c>
      <c r="F80" s="751">
        <v>1286</v>
      </c>
      <c r="G80" s="751">
        <v>2080</v>
      </c>
      <c r="H80" s="393">
        <f t="shared" si="2"/>
        <v>1</v>
      </c>
      <c r="I80" s="549"/>
      <c r="L80" s="549"/>
      <c r="M80" s="14"/>
    </row>
    <row r="81" spans="1:13" ht="19.5" customHeight="1">
      <c r="A81" s="474">
        <f t="shared" si="3"/>
        <v>27</v>
      </c>
      <c r="B81" s="752" t="s">
        <v>483</v>
      </c>
      <c r="C81" s="605"/>
      <c r="D81" s="606"/>
      <c r="E81" s="751">
        <v>40433.870650275</v>
      </c>
      <c r="F81" s="751">
        <v>507</v>
      </c>
      <c r="G81" s="751">
        <v>2080</v>
      </c>
      <c r="H81" s="393">
        <f t="shared" si="2"/>
        <v>1</v>
      </c>
      <c r="I81" s="549"/>
      <c r="L81" s="549"/>
      <c r="M81" s="14"/>
    </row>
    <row r="82" spans="1:13" ht="19.5" customHeight="1">
      <c r="A82" s="474">
        <f t="shared" si="3"/>
        <v>28</v>
      </c>
      <c r="B82" s="752" t="s">
        <v>483</v>
      </c>
      <c r="C82" s="605"/>
      <c r="D82" s="606"/>
      <c r="E82" s="751">
        <v>63689.2333541335</v>
      </c>
      <c r="F82" s="751">
        <v>536</v>
      </c>
      <c r="G82" s="751">
        <v>2080</v>
      </c>
      <c r="H82" s="393">
        <f t="shared" si="2"/>
        <v>1</v>
      </c>
      <c r="I82" s="549"/>
      <c r="L82" s="549"/>
      <c r="M82" s="14"/>
    </row>
    <row r="83" spans="1:13" ht="19.5" customHeight="1">
      <c r="A83" s="474">
        <f t="shared" si="3"/>
        <v>29</v>
      </c>
      <c r="B83" s="752" t="s">
        <v>483</v>
      </c>
      <c r="C83" s="605"/>
      <c r="D83" s="606"/>
      <c r="E83" s="751">
        <v>92745.9486030855</v>
      </c>
      <c r="F83" s="751">
        <v>1096</v>
      </c>
      <c r="G83" s="751">
        <v>2080</v>
      </c>
      <c r="H83" s="393">
        <f t="shared" si="2"/>
        <v>1</v>
      </c>
      <c r="I83" s="549"/>
      <c r="L83" s="549"/>
      <c r="M83" s="14"/>
    </row>
    <row r="84" spans="1:13" ht="19.5" customHeight="1">
      <c r="A84" s="474">
        <f t="shared" si="3"/>
        <v>30</v>
      </c>
      <c r="B84" s="752" t="s">
        <v>483</v>
      </c>
      <c r="C84" s="605"/>
      <c r="D84" s="606"/>
      <c r="E84" s="751">
        <v>65759.107968259</v>
      </c>
      <c r="F84" s="751">
        <v>1489</v>
      </c>
      <c r="G84" s="751">
        <v>2080</v>
      </c>
      <c r="H84" s="393">
        <f t="shared" si="2"/>
        <v>1</v>
      </c>
      <c r="I84" s="549"/>
      <c r="L84" s="549"/>
      <c r="M84" s="14"/>
    </row>
    <row r="85" spans="1:13" ht="19.5" customHeight="1">
      <c r="A85" s="474">
        <f t="shared" si="3"/>
        <v>31</v>
      </c>
      <c r="B85" s="752" t="s">
        <v>483</v>
      </c>
      <c r="C85" s="605"/>
      <c r="D85" s="606"/>
      <c r="E85" s="751">
        <v>72298.9599233054</v>
      </c>
      <c r="F85" s="751">
        <v>1697</v>
      </c>
      <c r="G85" s="751">
        <v>2080</v>
      </c>
      <c r="H85" s="393">
        <f t="shared" si="2"/>
        <v>1</v>
      </c>
      <c r="I85" s="549"/>
      <c r="L85" s="549"/>
      <c r="M85" s="14"/>
    </row>
    <row r="86" spans="1:13" ht="19.5" customHeight="1">
      <c r="A86" s="474">
        <f t="shared" si="3"/>
        <v>32</v>
      </c>
      <c r="B86" s="752" t="s">
        <v>483</v>
      </c>
      <c r="C86" s="664"/>
      <c r="D86" s="665"/>
      <c r="E86" s="751">
        <v>71258.1296840712</v>
      </c>
      <c r="F86" s="751">
        <v>1090</v>
      </c>
      <c r="G86" s="751">
        <v>2080</v>
      </c>
      <c r="H86" s="393">
        <f t="shared" si="2"/>
        <v>1</v>
      </c>
      <c r="I86" s="549"/>
      <c r="L86" s="549"/>
      <c r="M86" s="14"/>
    </row>
    <row r="87" spans="1:13" ht="19.5" customHeight="1">
      <c r="A87" s="474">
        <f t="shared" si="3"/>
        <v>33</v>
      </c>
      <c r="B87" s="752" t="s">
        <v>483</v>
      </c>
      <c r="C87" s="605"/>
      <c r="D87" s="606"/>
      <c r="E87" s="751">
        <v>19802.0230291639</v>
      </c>
      <c r="F87" s="751"/>
      <c r="G87" s="751">
        <v>520</v>
      </c>
      <c r="H87" s="393">
        <f aca="true" t="shared" si="4" ref="H87:H118">ROUND(G87/2080,2)</f>
        <v>0.25</v>
      </c>
      <c r="I87" s="549"/>
      <c r="L87" s="549"/>
      <c r="M87" s="14"/>
    </row>
    <row r="88" spans="1:13" ht="19.5" customHeight="1">
      <c r="A88" s="474">
        <f t="shared" si="3"/>
        <v>34</v>
      </c>
      <c r="B88" s="752" t="s">
        <v>483</v>
      </c>
      <c r="C88" s="605"/>
      <c r="D88" s="606"/>
      <c r="E88" s="751">
        <v>77728.58956391</v>
      </c>
      <c r="F88" s="751">
        <v>1264</v>
      </c>
      <c r="G88" s="751">
        <v>2080</v>
      </c>
      <c r="H88" s="393">
        <f t="shared" si="4"/>
        <v>1</v>
      </c>
      <c r="I88" s="549"/>
      <c r="L88" s="549"/>
      <c r="M88" s="14"/>
    </row>
    <row r="89" spans="1:13" ht="19.5" customHeight="1">
      <c r="A89" s="474">
        <f t="shared" si="3"/>
        <v>35</v>
      </c>
      <c r="B89" s="752" t="s">
        <v>483</v>
      </c>
      <c r="C89" s="605"/>
      <c r="D89" s="606"/>
      <c r="E89" s="751">
        <v>74508.7585987323</v>
      </c>
      <c r="F89" s="751">
        <v>1276</v>
      </c>
      <c r="G89" s="751">
        <v>2080</v>
      </c>
      <c r="H89" s="393">
        <f t="shared" si="4"/>
        <v>1</v>
      </c>
      <c r="I89" s="549"/>
      <c r="L89" s="549"/>
      <c r="M89" s="14"/>
    </row>
    <row r="90" spans="1:13" ht="19.5" customHeight="1">
      <c r="A90" s="474">
        <f t="shared" si="3"/>
        <v>36</v>
      </c>
      <c r="B90" s="752" t="s">
        <v>483</v>
      </c>
      <c r="C90" s="705"/>
      <c r="D90" s="706"/>
      <c r="E90" s="751">
        <v>37905.456704333</v>
      </c>
      <c r="F90" s="751">
        <v>368</v>
      </c>
      <c r="G90" s="751">
        <v>1664</v>
      </c>
      <c r="H90" s="393">
        <f t="shared" si="4"/>
        <v>0.8</v>
      </c>
      <c r="I90" s="549"/>
      <c r="L90" s="549"/>
      <c r="M90" s="14"/>
    </row>
    <row r="91" spans="1:13" ht="19.5" customHeight="1">
      <c r="A91" s="474">
        <f t="shared" si="3"/>
        <v>37</v>
      </c>
      <c r="B91" s="752" t="s">
        <v>483</v>
      </c>
      <c r="C91" s="605"/>
      <c r="D91" s="606"/>
      <c r="E91" s="751">
        <v>80065.4577698395</v>
      </c>
      <c r="F91" s="751">
        <v>1287</v>
      </c>
      <c r="G91" s="751">
        <v>2080</v>
      </c>
      <c r="H91" s="393">
        <f t="shared" si="4"/>
        <v>1</v>
      </c>
      <c r="I91" s="549"/>
      <c r="L91" s="549"/>
      <c r="M91" s="14"/>
    </row>
    <row r="92" spans="1:13" ht="19.5" customHeight="1">
      <c r="A92" s="474">
        <f t="shared" si="3"/>
        <v>38</v>
      </c>
      <c r="B92" s="752" t="s">
        <v>483</v>
      </c>
      <c r="C92" s="605"/>
      <c r="D92" s="606"/>
      <c r="E92" s="751">
        <v>78291.1254085559</v>
      </c>
      <c r="F92" s="751">
        <v>922</v>
      </c>
      <c r="G92" s="751">
        <v>2080</v>
      </c>
      <c r="H92" s="393">
        <f t="shared" si="4"/>
        <v>1</v>
      </c>
      <c r="I92" s="549"/>
      <c r="L92" s="549"/>
      <c r="M92" s="14"/>
    </row>
    <row r="93" spans="1:13" ht="19.5" customHeight="1">
      <c r="A93" s="474">
        <f t="shared" si="3"/>
        <v>39</v>
      </c>
      <c r="B93" s="752" t="s">
        <v>483</v>
      </c>
      <c r="C93" s="679"/>
      <c r="D93" s="680"/>
      <c r="E93" s="751">
        <v>66994.2217691883</v>
      </c>
      <c r="F93" s="751">
        <v>840</v>
      </c>
      <c r="G93" s="751">
        <v>2080</v>
      </c>
      <c r="H93" s="393">
        <f t="shared" si="4"/>
        <v>1</v>
      </c>
      <c r="I93" s="549"/>
      <c r="L93" s="549"/>
      <c r="M93" s="14"/>
    </row>
    <row r="94" spans="1:13" ht="19.5" customHeight="1">
      <c r="A94" s="474">
        <f t="shared" si="3"/>
        <v>40</v>
      </c>
      <c r="B94" s="752" t="s">
        <v>483</v>
      </c>
      <c r="C94" s="679"/>
      <c r="D94" s="680"/>
      <c r="E94" s="751">
        <v>32334.0811805639</v>
      </c>
      <c r="F94" s="751"/>
      <c r="G94" s="751">
        <v>1040</v>
      </c>
      <c r="H94" s="393">
        <f t="shared" si="4"/>
        <v>0.5</v>
      </c>
      <c r="I94" s="549"/>
      <c r="L94" s="549"/>
      <c r="M94" s="14"/>
    </row>
    <row r="95" spans="1:13" ht="19.5" customHeight="1">
      <c r="A95" s="474">
        <f t="shared" si="3"/>
        <v>41</v>
      </c>
      <c r="B95" s="752" t="s">
        <v>483</v>
      </c>
      <c r="C95" s="679"/>
      <c r="D95" s="680"/>
      <c r="E95" s="751">
        <v>82397.3693989683</v>
      </c>
      <c r="F95" s="751">
        <v>1526</v>
      </c>
      <c r="G95" s="751">
        <v>2080</v>
      </c>
      <c r="H95" s="393">
        <f t="shared" si="4"/>
        <v>1</v>
      </c>
      <c r="I95" s="549"/>
      <c r="L95" s="549"/>
      <c r="M95" s="14"/>
    </row>
    <row r="96" spans="1:13" ht="19.5" customHeight="1">
      <c r="A96" s="474">
        <f t="shared" si="3"/>
        <v>42</v>
      </c>
      <c r="B96" s="752" t="s">
        <v>483</v>
      </c>
      <c r="C96" s="679"/>
      <c r="D96" s="680"/>
      <c r="E96" s="751">
        <v>92748.8798025077</v>
      </c>
      <c r="F96" s="751"/>
      <c r="G96" s="751">
        <v>2080</v>
      </c>
      <c r="H96" s="393">
        <f t="shared" si="4"/>
        <v>1</v>
      </c>
      <c r="I96" s="549"/>
      <c r="L96" s="549"/>
      <c r="M96" s="14"/>
    </row>
    <row r="97" spans="1:13" ht="19.5" customHeight="1">
      <c r="A97" s="474">
        <f t="shared" si="3"/>
        <v>43</v>
      </c>
      <c r="B97" s="752" t="s">
        <v>483</v>
      </c>
      <c r="C97" s="679"/>
      <c r="D97" s="680"/>
      <c r="E97" s="751">
        <v>38566.6966184073</v>
      </c>
      <c r="F97" s="751">
        <v>36</v>
      </c>
      <c r="G97" s="751">
        <v>1040</v>
      </c>
      <c r="H97" s="393">
        <f t="shared" si="4"/>
        <v>0.5</v>
      </c>
      <c r="I97" s="549"/>
      <c r="L97" s="549"/>
      <c r="M97" s="14"/>
    </row>
    <row r="98" spans="1:13" ht="19.5" customHeight="1">
      <c r="A98" s="474">
        <f t="shared" si="3"/>
        <v>44</v>
      </c>
      <c r="B98" s="752" t="s">
        <v>483</v>
      </c>
      <c r="C98" s="679"/>
      <c r="D98" s="680"/>
      <c r="E98" s="751">
        <v>76169.201649137</v>
      </c>
      <c r="F98" s="751">
        <v>1476</v>
      </c>
      <c r="G98" s="751">
        <v>2080</v>
      </c>
      <c r="H98" s="393">
        <f t="shared" si="4"/>
        <v>1</v>
      </c>
      <c r="I98" s="549"/>
      <c r="L98" s="549"/>
      <c r="M98" s="14"/>
    </row>
    <row r="99" spans="1:13" ht="19.5" customHeight="1">
      <c r="A99" s="474">
        <f t="shared" si="3"/>
        <v>45</v>
      </c>
      <c r="B99" s="752" t="s">
        <v>483</v>
      </c>
      <c r="C99" s="605"/>
      <c r="D99" s="606"/>
      <c r="E99" s="751">
        <v>82479.4938716655</v>
      </c>
      <c r="F99" s="751">
        <v>1182</v>
      </c>
      <c r="G99" s="751">
        <v>2080</v>
      </c>
      <c r="H99" s="393">
        <f t="shared" si="4"/>
        <v>1</v>
      </c>
      <c r="I99" s="549"/>
      <c r="L99" s="549"/>
      <c r="M99" s="14"/>
    </row>
    <row r="100" spans="1:13" ht="19.5" customHeight="1">
      <c r="A100" s="474">
        <f t="shared" si="3"/>
        <v>46</v>
      </c>
      <c r="B100" s="752" t="s">
        <v>483</v>
      </c>
      <c r="C100" s="547"/>
      <c r="D100" s="548"/>
      <c r="E100" s="751">
        <v>68687.0199687693</v>
      </c>
      <c r="F100" s="751">
        <v>1201</v>
      </c>
      <c r="G100" s="751">
        <v>2080</v>
      </c>
      <c r="H100" s="393">
        <f t="shared" si="4"/>
        <v>1</v>
      </c>
      <c r="I100" s="549"/>
      <c r="L100" s="549"/>
      <c r="M100" s="14"/>
    </row>
    <row r="101" spans="1:13" ht="19.5" customHeight="1">
      <c r="A101" s="474">
        <f t="shared" si="3"/>
        <v>47</v>
      </c>
      <c r="B101" s="752" t="s">
        <v>483</v>
      </c>
      <c r="C101" s="605"/>
      <c r="D101" s="606"/>
      <c r="E101" s="751">
        <v>35674.803766351</v>
      </c>
      <c r="F101" s="751">
        <v>286</v>
      </c>
      <c r="G101" s="751">
        <v>2080</v>
      </c>
      <c r="H101" s="393">
        <f t="shared" si="4"/>
        <v>1</v>
      </c>
      <c r="I101" s="549"/>
      <c r="L101" s="549"/>
      <c r="M101" s="14"/>
    </row>
    <row r="102" spans="1:13" ht="19.5" customHeight="1">
      <c r="A102" s="474">
        <f t="shared" si="3"/>
        <v>48</v>
      </c>
      <c r="B102" s="752" t="s">
        <v>483</v>
      </c>
      <c r="C102" s="664"/>
      <c r="D102" s="665"/>
      <c r="E102" s="751">
        <v>55351.1617980688</v>
      </c>
      <c r="F102" s="751">
        <v>754</v>
      </c>
      <c r="G102" s="751">
        <v>2080</v>
      </c>
      <c r="H102" s="393">
        <f t="shared" si="4"/>
        <v>1</v>
      </c>
      <c r="I102" s="549"/>
      <c r="L102" s="553"/>
      <c r="M102" s="14"/>
    </row>
    <row r="103" spans="1:13" ht="19.5" customHeight="1">
      <c r="A103" s="474">
        <f t="shared" si="3"/>
        <v>49</v>
      </c>
      <c r="B103" s="752" t="s">
        <v>483</v>
      </c>
      <c r="C103" s="664"/>
      <c r="D103" s="665"/>
      <c r="E103" s="751">
        <v>71168.2599240121</v>
      </c>
      <c r="F103" s="751">
        <v>820</v>
      </c>
      <c r="G103" s="751">
        <v>2080</v>
      </c>
      <c r="H103" s="393">
        <f t="shared" si="4"/>
        <v>1</v>
      </c>
      <c r="I103" s="549"/>
      <c r="L103" s="549"/>
      <c r="M103" s="14"/>
    </row>
    <row r="104" spans="1:13" ht="19.5" customHeight="1">
      <c r="A104" s="474">
        <f t="shared" si="3"/>
        <v>50</v>
      </c>
      <c r="B104" s="752" t="s">
        <v>483</v>
      </c>
      <c r="C104" s="605"/>
      <c r="D104" s="606"/>
      <c r="E104" s="751">
        <v>66618.2343766513</v>
      </c>
      <c r="F104" s="751">
        <v>814</v>
      </c>
      <c r="G104" s="751">
        <v>2080</v>
      </c>
      <c r="H104" s="393">
        <f t="shared" si="4"/>
        <v>1</v>
      </c>
      <c r="I104" s="549"/>
      <c r="L104" s="549"/>
      <c r="M104" s="14"/>
    </row>
    <row r="105" spans="1:13" ht="19.5" customHeight="1">
      <c r="A105" s="474">
        <f t="shared" si="3"/>
        <v>51</v>
      </c>
      <c r="B105" s="752" t="s">
        <v>483</v>
      </c>
      <c r="C105" s="605"/>
      <c r="D105" s="606"/>
      <c r="E105" s="751">
        <v>10287.4311272843</v>
      </c>
      <c r="F105" s="751"/>
      <c r="G105" s="751">
        <v>554.6666666666666</v>
      </c>
      <c r="H105" s="393">
        <f t="shared" si="4"/>
        <v>0.27</v>
      </c>
      <c r="I105" s="549"/>
      <c r="L105" s="549"/>
      <c r="M105" s="14"/>
    </row>
    <row r="106" spans="1:13" ht="19.5" customHeight="1">
      <c r="A106" s="474">
        <f t="shared" si="3"/>
        <v>52</v>
      </c>
      <c r="B106" s="752" t="s">
        <v>483</v>
      </c>
      <c r="C106" s="605"/>
      <c r="D106" s="606"/>
      <c r="E106" s="751">
        <v>72435.6576296874</v>
      </c>
      <c r="F106" s="751">
        <v>623</v>
      </c>
      <c r="G106" s="751">
        <v>2080</v>
      </c>
      <c r="H106" s="393">
        <f t="shared" si="4"/>
        <v>1</v>
      </c>
      <c r="I106" s="549"/>
      <c r="L106" s="549"/>
      <c r="M106" s="14"/>
    </row>
    <row r="107" spans="1:13" ht="19.5" customHeight="1">
      <c r="A107" s="474">
        <f t="shared" si="3"/>
        <v>53</v>
      </c>
      <c r="B107" s="752" t="s">
        <v>483</v>
      </c>
      <c r="C107" s="605"/>
      <c r="D107" s="606"/>
      <c r="E107" s="751">
        <v>29814.7254550582</v>
      </c>
      <c r="F107" s="751"/>
      <c r="G107" s="751">
        <v>1040</v>
      </c>
      <c r="H107" s="393">
        <f t="shared" si="4"/>
        <v>0.5</v>
      </c>
      <c r="I107" s="549"/>
      <c r="L107" s="549"/>
      <c r="M107" s="14"/>
    </row>
    <row r="108" spans="1:13" ht="19.5" customHeight="1">
      <c r="A108" s="474">
        <f t="shared" si="3"/>
        <v>54</v>
      </c>
      <c r="B108" s="752" t="s">
        <v>483</v>
      </c>
      <c r="C108" s="605"/>
      <c r="D108" s="606"/>
      <c r="E108" s="751">
        <v>56721.6094834267</v>
      </c>
      <c r="F108" s="751">
        <v>707</v>
      </c>
      <c r="G108" s="751">
        <v>2080</v>
      </c>
      <c r="H108" s="393">
        <f t="shared" si="4"/>
        <v>1</v>
      </c>
      <c r="I108" s="549"/>
      <c r="L108" s="549"/>
      <c r="M108" s="14"/>
    </row>
    <row r="109" spans="1:13" ht="19.5" customHeight="1">
      <c r="A109" s="474">
        <f t="shared" si="3"/>
        <v>55</v>
      </c>
      <c r="B109" s="752" t="s">
        <v>483</v>
      </c>
      <c r="C109" s="605"/>
      <c r="D109" s="606"/>
      <c r="E109" s="751">
        <v>66298.6623952137</v>
      </c>
      <c r="F109" s="751">
        <v>999</v>
      </c>
      <c r="G109" s="751">
        <v>2080</v>
      </c>
      <c r="H109" s="393">
        <f t="shared" si="4"/>
        <v>1</v>
      </c>
      <c r="I109" s="549"/>
      <c r="L109" s="549"/>
      <c r="M109" s="14"/>
    </row>
    <row r="110" spans="1:13" ht="19.5" customHeight="1">
      <c r="A110" s="474">
        <f t="shared" si="3"/>
        <v>56</v>
      </c>
      <c r="B110" s="752" t="s">
        <v>483</v>
      </c>
      <c r="C110" s="605"/>
      <c r="D110" s="606"/>
      <c r="E110" s="751">
        <v>12001.9792336882</v>
      </c>
      <c r="F110" s="751">
        <v>197</v>
      </c>
      <c r="G110" s="751">
        <v>260</v>
      </c>
      <c r="H110" s="393">
        <f t="shared" si="4"/>
        <v>0.13</v>
      </c>
      <c r="I110" s="549"/>
      <c r="L110" s="549"/>
      <c r="M110" s="14"/>
    </row>
    <row r="111" spans="1:13" ht="19.5" customHeight="1">
      <c r="A111" s="474">
        <f t="shared" si="3"/>
        <v>57</v>
      </c>
      <c r="B111" s="752" t="s">
        <v>483</v>
      </c>
      <c r="C111" s="705"/>
      <c r="D111" s="706"/>
      <c r="E111" s="751">
        <v>55347.8234876159</v>
      </c>
      <c r="F111" s="751">
        <v>935</v>
      </c>
      <c r="G111" s="751">
        <v>2080</v>
      </c>
      <c r="H111" s="393">
        <f t="shared" si="4"/>
        <v>1</v>
      </c>
      <c r="I111" s="549"/>
      <c r="L111" s="549"/>
      <c r="M111" s="14"/>
    </row>
    <row r="112" spans="1:13" ht="19.5" customHeight="1">
      <c r="A112" s="474">
        <f t="shared" si="3"/>
        <v>58</v>
      </c>
      <c r="B112" s="752" t="s">
        <v>483</v>
      </c>
      <c r="C112" s="605"/>
      <c r="D112" s="606"/>
      <c r="E112" s="751">
        <v>70890.2438010481</v>
      </c>
      <c r="F112" s="751">
        <v>838</v>
      </c>
      <c r="G112" s="751">
        <v>2080</v>
      </c>
      <c r="H112" s="393">
        <f t="shared" si="4"/>
        <v>1</v>
      </c>
      <c r="I112" s="549"/>
      <c r="L112" s="549"/>
      <c r="M112" s="14"/>
    </row>
    <row r="113" spans="1:13" ht="19.5" customHeight="1">
      <c r="A113" s="474">
        <f t="shared" si="3"/>
        <v>59</v>
      </c>
      <c r="B113" s="752" t="s">
        <v>483</v>
      </c>
      <c r="C113" s="705"/>
      <c r="D113" s="706"/>
      <c r="E113" s="751">
        <v>32784.6716695032</v>
      </c>
      <c r="F113" s="751">
        <v>94</v>
      </c>
      <c r="G113" s="751">
        <v>1040</v>
      </c>
      <c r="H113" s="393">
        <f t="shared" si="4"/>
        <v>0.5</v>
      </c>
      <c r="I113" s="549"/>
      <c r="L113" s="549"/>
      <c r="M113" s="14"/>
    </row>
    <row r="114" spans="1:13" ht="19.5" customHeight="1">
      <c r="A114" s="474">
        <f t="shared" si="3"/>
        <v>60</v>
      </c>
      <c r="B114" s="752" t="s">
        <v>483</v>
      </c>
      <c r="C114" s="605"/>
      <c r="D114" s="606"/>
      <c r="E114" s="751">
        <v>66067.9118629308</v>
      </c>
      <c r="F114" s="751">
        <v>1034</v>
      </c>
      <c r="G114" s="751">
        <v>2080</v>
      </c>
      <c r="H114" s="393">
        <f t="shared" si="4"/>
        <v>1</v>
      </c>
      <c r="I114" s="549"/>
      <c r="L114" s="549"/>
      <c r="M114" s="14"/>
    </row>
    <row r="115" spans="1:13" ht="19.5" customHeight="1">
      <c r="A115" s="474">
        <f t="shared" si="3"/>
        <v>61</v>
      </c>
      <c r="B115" s="752" t="s">
        <v>483</v>
      </c>
      <c r="C115" s="605"/>
      <c r="D115" s="606"/>
      <c r="E115" s="751">
        <v>77862.2950042153</v>
      </c>
      <c r="F115" s="751">
        <v>1175</v>
      </c>
      <c r="G115" s="751">
        <v>1560</v>
      </c>
      <c r="H115" s="393">
        <f t="shared" si="4"/>
        <v>0.75</v>
      </c>
      <c r="I115" s="549"/>
      <c r="L115" s="549"/>
      <c r="M115" s="14"/>
    </row>
    <row r="116" spans="1:13" ht="19.5" customHeight="1">
      <c r="A116" s="474">
        <f t="shared" si="3"/>
        <v>62</v>
      </c>
      <c r="B116" s="752" t="s">
        <v>483</v>
      </c>
      <c r="C116" s="605"/>
      <c r="D116" s="606"/>
      <c r="E116" s="751">
        <v>80915.1493800919</v>
      </c>
      <c r="F116" s="751">
        <v>1306</v>
      </c>
      <c r="G116" s="751">
        <v>2080</v>
      </c>
      <c r="H116" s="393">
        <f t="shared" si="4"/>
        <v>1</v>
      </c>
      <c r="I116" s="549"/>
      <c r="L116" s="549"/>
      <c r="M116" s="14"/>
    </row>
    <row r="117" spans="1:13" ht="19.5" customHeight="1">
      <c r="A117" s="474">
        <f t="shared" si="3"/>
        <v>63</v>
      </c>
      <c r="B117" s="752" t="s">
        <v>483</v>
      </c>
      <c r="C117" s="605"/>
      <c r="D117" s="606"/>
      <c r="E117" s="751">
        <v>76817.7498768247</v>
      </c>
      <c r="F117" s="751">
        <v>1795</v>
      </c>
      <c r="G117" s="751">
        <v>2080</v>
      </c>
      <c r="H117" s="393">
        <f t="shared" si="4"/>
        <v>1</v>
      </c>
      <c r="I117" s="549"/>
      <c r="L117" s="549"/>
      <c r="M117" s="14"/>
    </row>
    <row r="118" spans="1:13" ht="19.5" customHeight="1">
      <c r="A118" s="474">
        <f t="shared" si="3"/>
        <v>64</v>
      </c>
      <c r="B118" s="752" t="s">
        <v>483</v>
      </c>
      <c r="C118" s="605"/>
      <c r="D118" s="606"/>
      <c r="E118" s="751">
        <v>63134.3003079887</v>
      </c>
      <c r="F118" s="751">
        <v>1233</v>
      </c>
      <c r="G118" s="751">
        <v>1664</v>
      </c>
      <c r="H118" s="393">
        <f t="shared" si="4"/>
        <v>0.8</v>
      </c>
      <c r="I118" s="549"/>
      <c r="L118" s="549"/>
      <c r="M118" s="14"/>
    </row>
    <row r="119" spans="1:13" ht="19.5" customHeight="1">
      <c r="A119" s="474">
        <f t="shared" si="3"/>
        <v>65</v>
      </c>
      <c r="B119" s="752" t="s">
        <v>483</v>
      </c>
      <c r="C119" s="605"/>
      <c r="D119" s="606"/>
      <c r="E119" s="751">
        <v>75682.9482338956</v>
      </c>
      <c r="F119" s="751">
        <v>1563</v>
      </c>
      <c r="G119" s="751">
        <v>2080</v>
      </c>
      <c r="H119" s="393">
        <f aca="true" t="shared" si="5" ref="H119:H150">ROUND(G119/2080,2)</f>
        <v>1</v>
      </c>
      <c r="I119" s="549"/>
      <c r="L119" s="551"/>
      <c r="M119" s="14"/>
    </row>
    <row r="120" spans="1:13" ht="19.5" customHeight="1">
      <c r="A120" s="474">
        <f t="shared" si="3"/>
        <v>66</v>
      </c>
      <c r="B120" s="752" t="s">
        <v>483</v>
      </c>
      <c r="C120" s="605"/>
      <c r="D120" s="606"/>
      <c r="E120" s="751">
        <v>24538.4443619971</v>
      </c>
      <c r="F120" s="751">
        <v>386</v>
      </c>
      <c r="G120" s="751">
        <v>1768</v>
      </c>
      <c r="H120" s="393">
        <f t="shared" si="5"/>
        <v>0.85</v>
      </c>
      <c r="I120" s="549"/>
      <c r="L120" s="549"/>
      <c r="M120" s="14"/>
    </row>
    <row r="121" spans="1:13" ht="19.5" customHeight="1">
      <c r="A121" s="474">
        <f t="shared" si="3"/>
        <v>67</v>
      </c>
      <c r="B121" s="752" t="s">
        <v>483</v>
      </c>
      <c r="C121" s="605"/>
      <c r="D121" s="606"/>
      <c r="E121" s="751">
        <v>2356.15509101571</v>
      </c>
      <c r="F121" s="751">
        <v>23</v>
      </c>
      <c r="G121" s="751">
        <v>71</v>
      </c>
      <c r="H121" s="393">
        <f t="shared" si="5"/>
        <v>0.03</v>
      </c>
      <c r="I121" s="549"/>
      <c r="L121" s="549"/>
      <c r="M121" s="14"/>
    </row>
    <row r="122" spans="1:13" ht="19.5" customHeight="1">
      <c r="A122" s="474">
        <f t="shared" si="3"/>
        <v>68</v>
      </c>
      <c r="B122" s="752" t="s">
        <v>483</v>
      </c>
      <c r="C122" s="605"/>
      <c r="D122" s="606"/>
      <c r="E122" s="751">
        <v>65828.7239545335</v>
      </c>
      <c r="F122" s="751">
        <v>1220</v>
      </c>
      <c r="G122" s="751">
        <v>2080</v>
      </c>
      <c r="H122" s="393">
        <f t="shared" si="5"/>
        <v>1</v>
      </c>
      <c r="I122" s="549"/>
      <c r="L122" s="549"/>
      <c r="M122" s="14"/>
    </row>
    <row r="123" spans="1:13" ht="19.5" customHeight="1">
      <c r="A123" s="474">
        <f t="shared" si="3"/>
        <v>69</v>
      </c>
      <c r="B123" s="752" t="s">
        <v>483</v>
      </c>
      <c r="C123" s="605"/>
      <c r="D123" s="606"/>
      <c r="E123" s="751">
        <v>54884.2665123442</v>
      </c>
      <c r="F123" s="751">
        <v>774</v>
      </c>
      <c r="G123" s="751">
        <v>2080</v>
      </c>
      <c r="H123" s="393">
        <f t="shared" si="5"/>
        <v>1</v>
      </c>
      <c r="I123" s="549"/>
      <c r="L123" s="549"/>
      <c r="M123" s="14"/>
    </row>
    <row r="124" spans="1:13" ht="19.5" customHeight="1">
      <c r="A124" s="474">
        <f t="shared" si="3"/>
        <v>70</v>
      </c>
      <c r="B124" s="752" t="s">
        <v>483</v>
      </c>
      <c r="C124" s="605"/>
      <c r="D124" s="606"/>
      <c r="E124" s="751">
        <v>70460.9248634704</v>
      </c>
      <c r="F124" s="751">
        <v>1340</v>
      </c>
      <c r="G124" s="751">
        <v>1664</v>
      </c>
      <c r="H124" s="393">
        <f t="shared" si="5"/>
        <v>0.8</v>
      </c>
      <c r="I124" s="549"/>
      <c r="L124" s="549"/>
      <c r="M124" s="14"/>
    </row>
    <row r="125" spans="1:13" ht="19.5" customHeight="1">
      <c r="A125" s="474">
        <f t="shared" si="3"/>
        <v>71</v>
      </c>
      <c r="B125" s="752" t="s">
        <v>483</v>
      </c>
      <c r="C125" s="689"/>
      <c r="D125" s="690"/>
      <c r="E125" s="751">
        <v>28954.3878913491</v>
      </c>
      <c r="F125" s="751">
        <v>447</v>
      </c>
      <c r="G125" s="751">
        <v>441</v>
      </c>
      <c r="H125" s="393">
        <f t="shared" si="5"/>
        <v>0.21</v>
      </c>
      <c r="I125" s="549"/>
      <c r="L125" s="549"/>
      <c r="M125" s="14"/>
    </row>
    <row r="126" spans="1:13" ht="19.5" customHeight="1">
      <c r="A126" s="474">
        <f t="shared" si="3"/>
        <v>72</v>
      </c>
      <c r="B126" s="752" t="s">
        <v>483</v>
      </c>
      <c r="C126" s="689"/>
      <c r="D126" s="690"/>
      <c r="E126" s="751">
        <v>68198.5717809639</v>
      </c>
      <c r="F126" s="751">
        <v>1315</v>
      </c>
      <c r="G126" s="751">
        <v>2080</v>
      </c>
      <c r="H126" s="393">
        <f t="shared" si="5"/>
        <v>1</v>
      </c>
      <c r="I126" s="549"/>
      <c r="L126" s="549"/>
      <c r="M126" s="14"/>
    </row>
    <row r="127" spans="1:13" ht="19.5" customHeight="1">
      <c r="A127" s="474">
        <f t="shared" si="3"/>
        <v>73</v>
      </c>
      <c r="B127" s="752" t="s">
        <v>483</v>
      </c>
      <c r="C127" s="689"/>
      <c r="D127" s="690"/>
      <c r="E127" s="751">
        <v>72403.1905249775</v>
      </c>
      <c r="F127" s="751">
        <v>1208</v>
      </c>
      <c r="G127" s="751">
        <v>2080</v>
      </c>
      <c r="H127" s="393">
        <f t="shared" si="5"/>
        <v>1</v>
      </c>
      <c r="I127" s="549"/>
      <c r="L127" s="549"/>
      <c r="M127" s="14"/>
    </row>
    <row r="128" spans="1:13" ht="19.5" customHeight="1">
      <c r="A128" s="474">
        <f t="shared" si="3"/>
        <v>74</v>
      </c>
      <c r="B128" s="752" t="s">
        <v>483</v>
      </c>
      <c r="C128" s="689"/>
      <c r="D128" s="690"/>
      <c r="E128" s="751">
        <v>53981.4062014634</v>
      </c>
      <c r="F128" s="751">
        <v>551</v>
      </c>
      <c r="G128" s="751">
        <v>2080</v>
      </c>
      <c r="H128" s="393">
        <f t="shared" si="5"/>
        <v>1</v>
      </c>
      <c r="I128" s="549"/>
      <c r="L128" s="549"/>
      <c r="M128" s="14"/>
    </row>
    <row r="129" spans="1:13" ht="19.5" customHeight="1">
      <c r="A129" s="474">
        <f t="shared" si="3"/>
        <v>75</v>
      </c>
      <c r="B129" s="752" t="s">
        <v>483</v>
      </c>
      <c r="C129" s="689"/>
      <c r="D129" s="690"/>
      <c r="E129" s="751">
        <v>73109.0803413597</v>
      </c>
      <c r="F129" s="751">
        <v>1434</v>
      </c>
      <c r="G129" s="751">
        <v>2080</v>
      </c>
      <c r="H129" s="393">
        <f t="shared" si="5"/>
        <v>1</v>
      </c>
      <c r="I129" s="549"/>
      <c r="L129" s="549"/>
      <c r="M129" s="14"/>
    </row>
    <row r="130" spans="1:13" ht="19.5" customHeight="1">
      <c r="A130" s="474">
        <f t="shared" si="3"/>
        <v>76</v>
      </c>
      <c r="B130" s="752" t="s">
        <v>483</v>
      </c>
      <c r="C130" s="689"/>
      <c r="D130" s="690"/>
      <c r="E130" s="751">
        <v>10350.8793814415</v>
      </c>
      <c r="F130" s="751">
        <v>110</v>
      </c>
      <c r="G130" s="751">
        <v>322.4</v>
      </c>
      <c r="H130" s="393">
        <f t="shared" si="5"/>
        <v>0.16</v>
      </c>
      <c r="I130" s="549"/>
      <c r="L130" s="549"/>
      <c r="M130" s="14"/>
    </row>
    <row r="131" spans="1:13" ht="19.5" customHeight="1">
      <c r="A131" s="474">
        <f t="shared" si="3"/>
        <v>77</v>
      </c>
      <c r="B131" s="752" t="s">
        <v>483</v>
      </c>
      <c r="C131" s="689"/>
      <c r="D131" s="690"/>
      <c r="E131" s="751">
        <v>49733.1179547894</v>
      </c>
      <c r="F131" s="751">
        <v>280</v>
      </c>
      <c r="G131" s="751">
        <v>2080</v>
      </c>
      <c r="H131" s="393">
        <f t="shared" si="5"/>
        <v>1</v>
      </c>
      <c r="I131" s="549"/>
      <c r="L131" s="549"/>
      <c r="M131" s="14"/>
    </row>
    <row r="132" spans="1:13" ht="19.5" customHeight="1">
      <c r="A132" s="474">
        <f t="shared" si="3"/>
        <v>78</v>
      </c>
      <c r="B132" s="752" t="s">
        <v>483</v>
      </c>
      <c r="C132" s="689"/>
      <c r="D132" s="690"/>
      <c r="E132" s="751">
        <v>72503.8792606813</v>
      </c>
      <c r="F132" s="751">
        <v>1384</v>
      </c>
      <c r="G132" s="751">
        <v>2080</v>
      </c>
      <c r="H132" s="393">
        <f t="shared" si="5"/>
        <v>1</v>
      </c>
      <c r="I132" s="549"/>
      <c r="L132" s="549"/>
      <c r="M132" s="14"/>
    </row>
    <row r="133" spans="1:13" ht="19.5" customHeight="1">
      <c r="A133" s="474">
        <f t="shared" si="3"/>
        <v>79</v>
      </c>
      <c r="B133" s="752" t="s">
        <v>483</v>
      </c>
      <c r="C133" s="689"/>
      <c r="D133" s="690"/>
      <c r="E133" s="751">
        <v>67868.8387523042</v>
      </c>
      <c r="F133" s="751">
        <v>1118</v>
      </c>
      <c r="G133" s="751">
        <v>2080</v>
      </c>
      <c r="H133" s="393">
        <f t="shared" si="5"/>
        <v>1</v>
      </c>
      <c r="I133" s="549"/>
      <c r="L133" s="549"/>
      <c r="M133" s="14"/>
    </row>
    <row r="134" spans="1:13" ht="19.5" customHeight="1">
      <c r="A134" s="474">
        <f t="shared" si="3"/>
        <v>80</v>
      </c>
      <c r="B134" s="752" t="s">
        <v>483</v>
      </c>
      <c r="C134" s="689"/>
      <c r="D134" s="690"/>
      <c r="E134" s="751">
        <v>67977.9648641223</v>
      </c>
      <c r="F134" s="751">
        <v>820</v>
      </c>
      <c r="G134" s="751">
        <v>2080</v>
      </c>
      <c r="H134" s="393">
        <f t="shared" si="5"/>
        <v>1</v>
      </c>
      <c r="I134" s="549"/>
      <c r="L134" s="549"/>
      <c r="M134" s="14"/>
    </row>
    <row r="135" spans="1:13" ht="19.5" customHeight="1">
      <c r="A135" s="474">
        <f aca="true" t="shared" si="6" ref="A135:A198">+A134+1</f>
        <v>81</v>
      </c>
      <c r="B135" s="752" t="s">
        <v>483</v>
      </c>
      <c r="C135" s="689"/>
      <c r="D135" s="690"/>
      <c r="E135" s="751">
        <v>66678.9855202292</v>
      </c>
      <c r="F135" s="751">
        <v>982</v>
      </c>
      <c r="G135" s="751">
        <v>2080</v>
      </c>
      <c r="H135" s="393">
        <f t="shared" si="5"/>
        <v>1</v>
      </c>
      <c r="I135" s="549"/>
      <c r="L135" s="549"/>
      <c r="M135" s="14"/>
    </row>
    <row r="136" spans="1:13" ht="19.5" customHeight="1">
      <c r="A136" s="474">
        <f t="shared" si="6"/>
        <v>82</v>
      </c>
      <c r="B136" s="752" t="s">
        <v>483</v>
      </c>
      <c r="C136" s="689"/>
      <c r="D136" s="690"/>
      <c r="E136" s="751">
        <v>79365.6746189199</v>
      </c>
      <c r="F136" s="751">
        <v>1303</v>
      </c>
      <c r="G136" s="751">
        <v>2080</v>
      </c>
      <c r="H136" s="393">
        <f t="shared" si="5"/>
        <v>1</v>
      </c>
      <c r="I136" s="549"/>
      <c r="L136" s="549"/>
      <c r="M136" s="14"/>
    </row>
    <row r="137" spans="1:13" ht="19.5" customHeight="1">
      <c r="A137" s="474">
        <f t="shared" si="6"/>
        <v>83</v>
      </c>
      <c r="B137" s="752" t="s">
        <v>483</v>
      </c>
      <c r="C137" s="689"/>
      <c r="D137" s="690"/>
      <c r="E137" s="751">
        <v>57311.2283893996</v>
      </c>
      <c r="F137" s="751">
        <v>1216</v>
      </c>
      <c r="G137" s="751">
        <v>2080</v>
      </c>
      <c r="H137" s="393">
        <f t="shared" si="5"/>
        <v>1</v>
      </c>
      <c r="I137" s="549"/>
      <c r="L137" s="549"/>
      <c r="M137" s="14"/>
    </row>
    <row r="138" spans="1:13" ht="19.5" customHeight="1">
      <c r="A138" s="474">
        <f t="shared" si="6"/>
        <v>84</v>
      </c>
      <c r="B138" s="752" t="s">
        <v>483</v>
      </c>
      <c r="C138" s="689"/>
      <c r="D138" s="690"/>
      <c r="E138" s="751">
        <v>62193.1817379842</v>
      </c>
      <c r="F138" s="751">
        <v>521</v>
      </c>
      <c r="G138" s="751">
        <v>2080</v>
      </c>
      <c r="H138" s="393">
        <f t="shared" si="5"/>
        <v>1</v>
      </c>
      <c r="I138" s="549"/>
      <c r="L138" s="549"/>
      <c r="M138" s="14"/>
    </row>
    <row r="139" spans="1:13" ht="19.5" customHeight="1">
      <c r="A139" s="474">
        <f t="shared" si="6"/>
        <v>85</v>
      </c>
      <c r="B139" s="752" t="s">
        <v>483</v>
      </c>
      <c r="C139" s="689"/>
      <c r="D139" s="690"/>
      <c r="E139" s="751">
        <v>71366.7367293249</v>
      </c>
      <c r="F139" s="751">
        <v>1077</v>
      </c>
      <c r="G139" s="751">
        <v>2080</v>
      </c>
      <c r="H139" s="393">
        <f t="shared" si="5"/>
        <v>1</v>
      </c>
      <c r="I139" s="549"/>
      <c r="L139" s="549"/>
      <c r="M139" s="14"/>
    </row>
    <row r="140" spans="1:13" ht="19.5" customHeight="1">
      <c r="A140" s="474">
        <f t="shared" si="6"/>
        <v>86</v>
      </c>
      <c r="B140" s="752" t="s">
        <v>483</v>
      </c>
      <c r="C140" s="689"/>
      <c r="D140" s="690"/>
      <c r="E140" s="751">
        <v>54020.6822381641</v>
      </c>
      <c r="F140" s="751">
        <v>868</v>
      </c>
      <c r="G140" s="751">
        <v>2080</v>
      </c>
      <c r="H140" s="393">
        <f t="shared" si="5"/>
        <v>1</v>
      </c>
      <c r="I140" s="549"/>
      <c r="L140" s="549"/>
      <c r="M140" s="14"/>
    </row>
    <row r="141" spans="1:13" ht="19.5" customHeight="1">
      <c r="A141" s="474">
        <f t="shared" si="6"/>
        <v>87</v>
      </c>
      <c r="B141" s="752" t="s">
        <v>483</v>
      </c>
      <c r="C141" s="689"/>
      <c r="D141" s="690"/>
      <c r="E141" s="751">
        <v>35459.8324896804</v>
      </c>
      <c r="F141" s="751">
        <v>526</v>
      </c>
      <c r="G141" s="751">
        <v>2080</v>
      </c>
      <c r="H141" s="393">
        <f t="shared" si="5"/>
        <v>1</v>
      </c>
      <c r="I141" s="549"/>
      <c r="L141" s="549"/>
      <c r="M141" s="14"/>
    </row>
    <row r="142" spans="1:13" ht="19.5" customHeight="1">
      <c r="A142" s="474">
        <f t="shared" si="6"/>
        <v>88</v>
      </c>
      <c r="B142" s="752" t="s">
        <v>483</v>
      </c>
      <c r="C142" s="682"/>
      <c r="D142" s="683"/>
      <c r="E142" s="751">
        <v>68561.8435045602</v>
      </c>
      <c r="F142" s="751">
        <v>1016</v>
      </c>
      <c r="G142" s="751">
        <v>2080</v>
      </c>
      <c r="H142" s="393">
        <f t="shared" si="5"/>
        <v>1</v>
      </c>
      <c r="I142" s="549"/>
      <c r="L142" s="549"/>
      <c r="M142" s="14"/>
    </row>
    <row r="143" spans="1:13" ht="19.5" customHeight="1">
      <c r="A143" s="474">
        <f t="shared" si="6"/>
        <v>89</v>
      </c>
      <c r="B143" s="752" t="s">
        <v>483</v>
      </c>
      <c r="C143" s="689"/>
      <c r="D143" s="690"/>
      <c r="E143" s="751">
        <v>74782.703611388</v>
      </c>
      <c r="F143" s="751">
        <v>1326</v>
      </c>
      <c r="G143" s="751">
        <v>2080</v>
      </c>
      <c r="H143" s="393">
        <f t="shared" si="5"/>
        <v>1</v>
      </c>
      <c r="I143" s="549"/>
      <c r="L143" s="549"/>
      <c r="M143" s="14"/>
    </row>
    <row r="144" spans="1:13" ht="19.5" customHeight="1">
      <c r="A144" s="474">
        <f t="shared" si="6"/>
        <v>90</v>
      </c>
      <c r="B144" s="752" t="s">
        <v>483</v>
      </c>
      <c r="C144" s="689"/>
      <c r="D144" s="690"/>
      <c r="E144" s="751">
        <v>21232.8758137234</v>
      </c>
      <c r="F144" s="751">
        <v>226</v>
      </c>
      <c r="G144" s="751">
        <v>491</v>
      </c>
      <c r="H144" s="393">
        <f t="shared" si="5"/>
        <v>0.24</v>
      </c>
      <c r="I144" s="549"/>
      <c r="L144" s="549"/>
      <c r="M144" s="14"/>
    </row>
    <row r="145" spans="1:13" ht="19.5" customHeight="1">
      <c r="A145" s="474">
        <f t="shared" si="6"/>
        <v>91</v>
      </c>
      <c r="B145" s="752" t="s">
        <v>483</v>
      </c>
      <c r="C145" s="689"/>
      <c r="D145" s="690"/>
      <c r="E145" s="751">
        <v>69398.3345396375</v>
      </c>
      <c r="F145" s="751">
        <v>1217</v>
      </c>
      <c r="G145" s="751">
        <v>2080</v>
      </c>
      <c r="H145" s="393">
        <f t="shared" si="5"/>
        <v>1</v>
      </c>
      <c r="I145" s="549"/>
      <c r="L145" s="549"/>
      <c r="M145" s="14"/>
    </row>
    <row r="146" spans="1:13" ht="19.5" customHeight="1">
      <c r="A146" s="474">
        <f t="shared" si="6"/>
        <v>92</v>
      </c>
      <c r="B146" s="752" t="s">
        <v>487</v>
      </c>
      <c r="C146" s="605"/>
      <c r="D146" s="606"/>
      <c r="E146" s="751">
        <v>67765.279883833</v>
      </c>
      <c r="F146" s="751">
        <v>885</v>
      </c>
      <c r="G146" s="751">
        <v>2080</v>
      </c>
      <c r="H146" s="393">
        <f t="shared" si="5"/>
        <v>1</v>
      </c>
      <c r="I146" s="549"/>
      <c r="L146" s="549"/>
      <c r="M146" s="14"/>
    </row>
    <row r="147" spans="1:13" ht="19.5" customHeight="1">
      <c r="A147" s="474">
        <f t="shared" si="6"/>
        <v>93</v>
      </c>
      <c r="B147" s="752" t="s">
        <v>487</v>
      </c>
      <c r="C147" s="605"/>
      <c r="D147" s="606"/>
      <c r="E147" s="751">
        <v>17228.8166920531</v>
      </c>
      <c r="F147" s="751">
        <v>327</v>
      </c>
      <c r="G147" s="751">
        <v>520</v>
      </c>
      <c r="H147" s="393">
        <f t="shared" si="5"/>
        <v>0.25</v>
      </c>
      <c r="I147" s="549"/>
      <c r="L147" s="549"/>
      <c r="M147" s="14"/>
    </row>
    <row r="148" spans="1:13" ht="19.5" customHeight="1">
      <c r="A148" s="474">
        <f t="shared" si="6"/>
        <v>94</v>
      </c>
      <c r="B148" s="752" t="s">
        <v>487</v>
      </c>
      <c r="C148" s="605"/>
      <c r="D148" s="606"/>
      <c r="E148" s="751">
        <v>70557.7663999327</v>
      </c>
      <c r="F148" s="751">
        <v>1032</v>
      </c>
      <c r="G148" s="751">
        <v>2080</v>
      </c>
      <c r="H148" s="393">
        <f t="shared" si="5"/>
        <v>1</v>
      </c>
      <c r="I148" s="549"/>
      <c r="L148" s="549"/>
      <c r="M148" s="14"/>
    </row>
    <row r="149" spans="1:13" ht="19.5" customHeight="1">
      <c r="A149" s="474">
        <f t="shared" si="6"/>
        <v>95</v>
      </c>
      <c r="B149" s="752" t="s">
        <v>487</v>
      </c>
      <c r="C149" s="605"/>
      <c r="D149" s="606"/>
      <c r="E149" s="751">
        <v>71486.7937723211</v>
      </c>
      <c r="F149" s="751">
        <v>1069</v>
      </c>
      <c r="G149" s="751">
        <v>2080</v>
      </c>
      <c r="H149" s="393">
        <f t="shared" si="5"/>
        <v>1</v>
      </c>
      <c r="I149" s="549"/>
      <c r="L149" s="549"/>
      <c r="M149" s="14"/>
    </row>
    <row r="150" spans="1:13" ht="19.5" customHeight="1">
      <c r="A150" s="474">
        <f t="shared" si="6"/>
        <v>96</v>
      </c>
      <c r="B150" s="752" t="s">
        <v>487</v>
      </c>
      <c r="C150" s="605"/>
      <c r="D150" s="606"/>
      <c r="E150" s="751">
        <v>76547.7509422093</v>
      </c>
      <c r="F150" s="751">
        <v>1071</v>
      </c>
      <c r="G150" s="751">
        <v>2080</v>
      </c>
      <c r="H150" s="393">
        <f t="shared" si="5"/>
        <v>1</v>
      </c>
      <c r="I150" s="549"/>
      <c r="L150" s="549"/>
      <c r="M150" s="14"/>
    </row>
    <row r="151" spans="1:13" ht="19.5" customHeight="1">
      <c r="A151" s="474">
        <f t="shared" si="6"/>
        <v>97</v>
      </c>
      <c r="B151" s="752" t="s">
        <v>487</v>
      </c>
      <c r="C151" s="605"/>
      <c r="D151" s="606"/>
      <c r="E151" s="751">
        <v>64299.8083004192</v>
      </c>
      <c r="F151" s="751">
        <v>1050</v>
      </c>
      <c r="G151" s="751">
        <v>2080</v>
      </c>
      <c r="H151" s="393">
        <f aca="true" t="shared" si="7" ref="H151:H182">ROUND(G151/2080,2)</f>
        <v>1</v>
      </c>
      <c r="I151" s="549"/>
      <c r="L151" s="549"/>
      <c r="M151" s="14"/>
    </row>
    <row r="152" spans="1:13" ht="19.5" customHeight="1">
      <c r="A152" s="474">
        <f t="shared" si="6"/>
        <v>98</v>
      </c>
      <c r="B152" s="752" t="s">
        <v>487</v>
      </c>
      <c r="C152" s="605"/>
      <c r="D152" s="606"/>
      <c r="E152" s="751">
        <v>51925.7397623144</v>
      </c>
      <c r="F152" s="751">
        <v>831</v>
      </c>
      <c r="G152" s="751">
        <v>1664</v>
      </c>
      <c r="H152" s="393">
        <f t="shared" si="7"/>
        <v>0.8</v>
      </c>
      <c r="I152" s="549"/>
      <c r="L152" s="549"/>
      <c r="M152" s="14"/>
    </row>
    <row r="153" spans="1:13" ht="19.5" customHeight="1">
      <c r="A153" s="474">
        <f t="shared" si="6"/>
        <v>99</v>
      </c>
      <c r="B153" s="752" t="s">
        <v>487</v>
      </c>
      <c r="C153" s="605"/>
      <c r="D153" s="606"/>
      <c r="E153" s="751">
        <v>5229.8806133205</v>
      </c>
      <c r="F153" s="751"/>
      <c r="G153" s="751">
        <v>2080</v>
      </c>
      <c r="H153" s="393">
        <f t="shared" si="7"/>
        <v>1</v>
      </c>
      <c r="I153" s="549"/>
      <c r="L153" s="549"/>
      <c r="M153" s="14"/>
    </row>
    <row r="154" spans="1:13" ht="19.5" customHeight="1">
      <c r="A154" s="474">
        <f t="shared" si="6"/>
        <v>100</v>
      </c>
      <c r="B154" s="752" t="s">
        <v>487</v>
      </c>
      <c r="C154" s="605"/>
      <c r="D154" s="606"/>
      <c r="E154" s="751">
        <v>57334.7695847582</v>
      </c>
      <c r="F154" s="751">
        <v>974</v>
      </c>
      <c r="G154" s="751">
        <v>2080</v>
      </c>
      <c r="H154" s="393">
        <f t="shared" si="7"/>
        <v>1</v>
      </c>
      <c r="I154" s="549"/>
      <c r="L154" s="549"/>
      <c r="M154" s="14"/>
    </row>
    <row r="155" spans="1:13" ht="19.5" customHeight="1">
      <c r="A155" s="474">
        <f t="shared" si="6"/>
        <v>101</v>
      </c>
      <c r="B155" s="752" t="s">
        <v>487</v>
      </c>
      <c r="C155" s="605"/>
      <c r="D155" s="606"/>
      <c r="E155" s="751">
        <v>63158.5844809786</v>
      </c>
      <c r="F155" s="751">
        <v>1027</v>
      </c>
      <c r="G155" s="751">
        <v>2080</v>
      </c>
      <c r="H155" s="393">
        <f t="shared" si="7"/>
        <v>1</v>
      </c>
      <c r="I155" s="549"/>
      <c r="L155" s="549"/>
      <c r="M155" s="14"/>
    </row>
    <row r="156" spans="1:13" ht="19.5" customHeight="1">
      <c r="A156" s="474">
        <f t="shared" si="6"/>
        <v>102</v>
      </c>
      <c r="B156" s="752" t="s">
        <v>487</v>
      </c>
      <c r="C156" s="605"/>
      <c r="D156" s="606"/>
      <c r="E156" s="751">
        <v>65877.7910115261</v>
      </c>
      <c r="F156" s="751">
        <v>952</v>
      </c>
      <c r="G156" s="751">
        <v>2080</v>
      </c>
      <c r="H156" s="393">
        <f t="shared" si="7"/>
        <v>1</v>
      </c>
      <c r="I156" s="549"/>
      <c r="L156" s="549"/>
      <c r="M156" s="14"/>
    </row>
    <row r="157" spans="1:13" ht="19.5" customHeight="1">
      <c r="A157" s="474">
        <f t="shared" si="6"/>
        <v>103</v>
      </c>
      <c r="B157" s="752" t="s">
        <v>487</v>
      </c>
      <c r="C157" s="605"/>
      <c r="D157" s="606"/>
      <c r="E157" s="751">
        <v>51621.7906666855</v>
      </c>
      <c r="F157" s="751">
        <v>304</v>
      </c>
      <c r="G157" s="751">
        <v>2080</v>
      </c>
      <c r="H157" s="393">
        <f t="shared" si="7"/>
        <v>1</v>
      </c>
      <c r="I157" s="549"/>
      <c r="L157" s="549"/>
      <c r="M157" s="14"/>
    </row>
    <row r="158" spans="1:13" ht="19.5" customHeight="1">
      <c r="A158" s="474">
        <f t="shared" si="6"/>
        <v>104</v>
      </c>
      <c r="B158" s="752" t="s">
        <v>487</v>
      </c>
      <c r="C158" s="605"/>
      <c r="D158" s="606"/>
      <c r="E158" s="751">
        <v>15851.885763529</v>
      </c>
      <c r="F158" s="751">
        <v>99</v>
      </c>
      <c r="G158" s="751">
        <v>520</v>
      </c>
      <c r="H158" s="393">
        <f t="shared" si="7"/>
        <v>0.25</v>
      </c>
      <c r="I158" s="549"/>
      <c r="L158" s="549"/>
      <c r="M158" s="14"/>
    </row>
    <row r="159" spans="1:13" ht="19.5" customHeight="1">
      <c r="A159" s="474">
        <f t="shared" si="6"/>
        <v>105</v>
      </c>
      <c r="B159" s="752" t="s">
        <v>487</v>
      </c>
      <c r="C159" s="664"/>
      <c r="D159" s="665"/>
      <c r="E159" s="751">
        <v>75532.5105302226</v>
      </c>
      <c r="F159" s="751"/>
      <c r="G159" s="751">
        <v>2080</v>
      </c>
      <c r="H159" s="393">
        <f t="shared" si="7"/>
        <v>1</v>
      </c>
      <c r="I159" s="549"/>
      <c r="L159" s="549"/>
      <c r="M159" s="14"/>
    </row>
    <row r="160" spans="1:13" ht="19.5" customHeight="1">
      <c r="A160" s="474">
        <f t="shared" si="6"/>
        <v>106</v>
      </c>
      <c r="B160" s="752" t="s">
        <v>487</v>
      </c>
      <c r="C160" s="656"/>
      <c r="D160" s="653"/>
      <c r="E160" s="751">
        <v>90599.4556929551</v>
      </c>
      <c r="F160" s="751">
        <v>1767</v>
      </c>
      <c r="G160" s="751">
        <v>2080</v>
      </c>
      <c r="H160" s="393">
        <f t="shared" si="7"/>
        <v>1</v>
      </c>
      <c r="I160" s="549"/>
      <c r="L160" s="549"/>
      <c r="M160" s="14"/>
    </row>
    <row r="161" spans="1:13" ht="19.5" customHeight="1">
      <c r="A161" s="474">
        <f t="shared" si="6"/>
        <v>107</v>
      </c>
      <c r="B161" s="752" t="s">
        <v>487</v>
      </c>
      <c r="C161" s="664"/>
      <c r="D161" s="665"/>
      <c r="E161" s="751">
        <v>62014.4498176674</v>
      </c>
      <c r="F161" s="751">
        <v>910</v>
      </c>
      <c r="G161" s="751">
        <v>2080</v>
      </c>
      <c r="H161" s="393">
        <f t="shared" si="7"/>
        <v>1</v>
      </c>
      <c r="I161" s="549"/>
      <c r="L161" s="549"/>
      <c r="M161" s="14"/>
    </row>
    <row r="162" spans="1:13" ht="19.5" customHeight="1">
      <c r="A162" s="474">
        <f t="shared" si="6"/>
        <v>108</v>
      </c>
      <c r="B162" s="752" t="s">
        <v>487</v>
      </c>
      <c r="C162" s="679"/>
      <c r="D162" s="680"/>
      <c r="E162" s="751">
        <v>60882.0501298204</v>
      </c>
      <c r="F162" s="751">
        <v>861</v>
      </c>
      <c r="G162" s="751">
        <v>2080</v>
      </c>
      <c r="H162" s="393">
        <f t="shared" si="7"/>
        <v>1</v>
      </c>
      <c r="I162" s="549"/>
      <c r="L162" s="549"/>
      <c r="M162" s="14"/>
    </row>
    <row r="163" spans="1:13" ht="19.5" customHeight="1">
      <c r="A163" s="474">
        <f t="shared" si="6"/>
        <v>109</v>
      </c>
      <c r="B163" s="752" t="s">
        <v>487</v>
      </c>
      <c r="C163" s="689"/>
      <c r="D163" s="690"/>
      <c r="E163" s="751">
        <v>70408.6110960068</v>
      </c>
      <c r="F163" s="751">
        <v>1256</v>
      </c>
      <c r="G163" s="751">
        <v>2080</v>
      </c>
      <c r="H163" s="393">
        <f t="shared" si="7"/>
        <v>1</v>
      </c>
      <c r="I163" s="549"/>
      <c r="L163" s="549"/>
      <c r="M163" s="14"/>
    </row>
    <row r="164" spans="1:13" ht="19.5" customHeight="1">
      <c r="A164" s="474">
        <f t="shared" si="6"/>
        <v>110</v>
      </c>
      <c r="B164" s="752" t="s">
        <v>487</v>
      </c>
      <c r="C164" s="689"/>
      <c r="D164" s="690"/>
      <c r="E164" s="751">
        <v>77999.6440882467</v>
      </c>
      <c r="F164" s="751"/>
      <c r="G164" s="751">
        <v>2080</v>
      </c>
      <c r="H164" s="393">
        <f t="shared" si="7"/>
        <v>1</v>
      </c>
      <c r="I164" s="549"/>
      <c r="L164" s="549"/>
      <c r="M164" s="14"/>
    </row>
    <row r="165" spans="1:13" ht="19.5" customHeight="1">
      <c r="A165" s="474">
        <f t="shared" si="6"/>
        <v>111</v>
      </c>
      <c r="B165" s="752" t="s">
        <v>487</v>
      </c>
      <c r="C165" s="689"/>
      <c r="D165" s="690"/>
      <c r="E165" s="751">
        <v>15775.5524452456</v>
      </c>
      <c r="F165" s="751">
        <v>124</v>
      </c>
      <c r="G165" s="751">
        <v>520</v>
      </c>
      <c r="H165" s="393">
        <f t="shared" si="7"/>
        <v>0.25</v>
      </c>
      <c r="I165" s="549"/>
      <c r="L165" s="549"/>
      <c r="M165" s="14"/>
    </row>
    <row r="166" spans="1:13" ht="19.5" customHeight="1">
      <c r="A166" s="474">
        <f t="shared" si="6"/>
        <v>112</v>
      </c>
      <c r="B166" s="752" t="s">
        <v>487</v>
      </c>
      <c r="C166" s="689"/>
      <c r="D166" s="690"/>
      <c r="E166" s="751">
        <v>28600.9239165937</v>
      </c>
      <c r="F166" s="751">
        <v>344</v>
      </c>
      <c r="G166" s="751">
        <v>1560</v>
      </c>
      <c r="H166" s="393">
        <f t="shared" si="7"/>
        <v>0.75</v>
      </c>
      <c r="I166" s="549"/>
      <c r="L166" s="549"/>
      <c r="M166" s="14"/>
    </row>
    <row r="167" spans="1:13" ht="19.5" customHeight="1">
      <c r="A167" s="474">
        <f t="shared" si="6"/>
        <v>113</v>
      </c>
      <c r="B167" s="752" t="s">
        <v>728</v>
      </c>
      <c r="C167" s="679"/>
      <c r="D167" s="680"/>
      <c r="E167" s="751">
        <v>36953.9669808177</v>
      </c>
      <c r="F167" s="751">
        <v>136</v>
      </c>
      <c r="G167" s="751">
        <v>1040</v>
      </c>
      <c r="H167" s="393">
        <f t="shared" si="7"/>
        <v>0.5</v>
      </c>
      <c r="I167" s="549"/>
      <c r="L167" s="549"/>
      <c r="M167" s="14"/>
    </row>
    <row r="168" spans="1:13" ht="19.5" customHeight="1">
      <c r="A168" s="474">
        <f t="shared" si="6"/>
        <v>114</v>
      </c>
      <c r="B168" s="752" t="s">
        <v>728</v>
      </c>
      <c r="C168" s="679"/>
      <c r="D168" s="680"/>
      <c r="E168" s="751">
        <v>30027.9702130148</v>
      </c>
      <c r="F168" s="751">
        <v>639</v>
      </c>
      <c r="G168" s="751">
        <v>1040</v>
      </c>
      <c r="H168" s="393">
        <f t="shared" si="7"/>
        <v>0.5</v>
      </c>
      <c r="I168" s="549"/>
      <c r="L168" s="549"/>
      <c r="M168" s="14"/>
    </row>
    <row r="169" spans="1:13" ht="19.5" customHeight="1">
      <c r="A169" s="474">
        <f t="shared" si="6"/>
        <v>115</v>
      </c>
      <c r="B169" s="752" t="s">
        <v>728</v>
      </c>
      <c r="C169" s="705"/>
      <c r="D169" s="706"/>
      <c r="E169" s="751">
        <v>15775.5524452456</v>
      </c>
      <c r="F169" s="751">
        <v>254</v>
      </c>
      <c r="G169" s="751">
        <v>520</v>
      </c>
      <c r="H169" s="393">
        <f t="shared" si="7"/>
        <v>0.25</v>
      </c>
      <c r="I169" s="549"/>
      <c r="L169" s="549"/>
      <c r="M169" s="14"/>
    </row>
    <row r="170" spans="1:13" ht="19.5" customHeight="1">
      <c r="A170" s="474">
        <f t="shared" si="6"/>
        <v>116</v>
      </c>
      <c r="B170" s="752" t="s">
        <v>728</v>
      </c>
      <c r="C170" s="679"/>
      <c r="D170" s="680"/>
      <c r="E170" s="751">
        <v>32476.4377302746</v>
      </c>
      <c r="F170" s="751">
        <v>417</v>
      </c>
      <c r="G170" s="751">
        <v>1040</v>
      </c>
      <c r="H170" s="393">
        <f t="shared" si="7"/>
        <v>0.5</v>
      </c>
      <c r="I170" s="549"/>
      <c r="L170" s="549"/>
      <c r="M170" s="14"/>
    </row>
    <row r="171" spans="1:13" ht="19.5" customHeight="1">
      <c r="A171" s="474">
        <f t="shared" si="6"/>
        <v>117</v>
      </c>
      <c r="B171" s="752" t="s">
        <v>728</v>
      </c>
      <c r="C171" s="689"/>
      <c r="D171" s="690"/>
      <c r="E171" s="751">
        <v>24249.47695230333</v>
      </c>
      <c r="F171" s="751">
        <v>171</v>
      </c>
      <c r="G171" s="751">
        <v>1040</v>
      </c>
      <c r="H171" s="393">
        <f t="shared" si="7"/>
        <v>0.5</v>
      </c>
      <c r="I171" s="549"/>
      <c r="L171" s="549"/>
      <c r="M171" s="14"/>
    </row>
    <row r="172" spans="1:13" ht="19.5" customHeight="1">
      <c r="A172" s="474">
        <f t="shared" si="6"/>
        <v>118</v>
      </c>
      <c r="B172" s="752" t="s">
        <v>486</v>
      </c>
      <c r="C172" s="547"/>
      <c r="D172" s="548"/>
      <c r="E172" s="751">
        <v>75188.5933091405</v>
      </c>
      <c r="F172" s="751">
        <v>1353</v>
      </c>
      <c r="G172" s="751">
        <v>2080</v>
      </c>
      <c r="H172" s="393">
        <f t="shared" si="7"/>
        <v>1</v>
      </c>
      <c r="I172" s="549"/>
      <c r="L172" s="549"/>
      <c r="M172" s="14"/>
    </row>
    <row r="173" spans="1:13" ht="19.5" customHeight="1">
      <c r="A173" s="474">
        <f t="shared" si="6"/>
        <v>119</v>
      </c>
      <c r="B173" s="752" t="s">
        <v>486</v>
      </c>
      <c r="C173" s="675"/>
      <c r="D173" s="676"/>
      <c r="E173" s="751">
        <v>62965.1965635514</v>
      </c>
      <c r="F173" s="751">
        <v>1256</v>
      </c>
      <c r="G173" s="751">
        <v>2080</v>
      </c>
      <c r="H173" s="346">
        <f t="shared" si="7"/>
        <v>1</v>
      </c>
      <c r="I173" s="684"/>
      <c r="L173" s="549"/>
      <c r="M173" s="14"/>
    </row>
    <row r="174" spans="1:13" ht="19.5" customHeight="1">
      <c r="A174" s="474">
        <f t="shared" si="6"/>
        <v>120</v>
      </c>
      <c r="B174" s="752" t="s">
        <v>486</v>
      </c>
      <c r="C174" s="679"/>
      <c r="D174" s="680"/>
      <c r="E174" s="751">
        <v>77554.9974203577</v>
      </c>
      <c r="F174" s="751"/>
      <c r="G174" s="751">
        <v>2080</v>
      </c>
      <c r="H174" s="393">
        <f t="shared" si="7"/>
        <v>1</v>
      </c>
      <c r="I174" s="549"/>
      <c r="L174" s="549"/>
      <c r="M174" s="14"/>
    </row>
    <row r="175" spans="1:13" ht="19.5" customHeight="1">
      <c r="A175" s="474">
        <f t="shared" si="6"/>
        <v>121</v>
      </c>
      <c r="B175" s="752" t="s">
        <v>486</v>
      </c>
      <c r="C175" s="679"/>
      <c r="D175" s="680"/>
      <c r="E175" s="751">
        <v>66453.0694314375</v>
      </c>
      <c r="F175" s="751">
        <v>760</v>
      </c>
      <c r="G175" s="751">
        <v>2080</v>
      </c>
      <c r="H175" s="393">
        <f t="shared" si="7"/>
        <v>1</v>
      </c>
      <c r="I175" s="549"/>
      <c r="L175" s="549"/>
      <c r="M175" s="14"/>
    </row>
    <row r="176" spans="1:13" ht="19.5" customHeight="1">
      <c r="A176" s="474">
        <f t="shared" si="6"/>
        <v>122</v>
      </c>
      <c r="B176" s="752" t="s">
        <v>486</v>
      </c>
      <c r="C176" s="679"/>
      <c r="D176" s="680"/>
      <c r="E176" s="751">
        <v>118770.969071989</v>
      </c>
      <c r="F176" s="751">
        <v>812</v>
      </c>
      <c r="G176" s="751">
        <v>2080</v>
      </c>
      <c r="H176" s="393">
        <f t="shared" si="7"/>
        <v>1</v>
      </c>
      <c r="I176" s="549"/>
      <c r="L176" s="549"/>
      <c r="M176" s="14"/>
    </row>
    <row r="177" spans="1:13" ht="19.5" customHeight="1">
      <c r="A177" s="474">
        <f t="shared" si="6"/>
        <v>123</v>
      </c>
      <c r="B177" s="752" t="s">
        <v>486</v>
      </c>
      <c r="C177" s="679"/>
      <c r="D177" s="680"/>
      <c r="E177" s="751">
        <v>55728.7572791776</v>
      </c>
      <c r="F177" s="751">
        <v>1174</v>
      </c>
      <c r="G177" s="751">
        <v>2080</v>
      </c>
      <c r="H177" s="393">
        <f t="shared" si="7"/>
        <v>1</v>
      </c>
      <c r="I177" s="549"/>
      <c r="L177" s="549"/>
      <c r="M177" s="14"/>
    </row>
    <row r="178" spans="1:13" ht="19.5" customHeight="1">
      <c r="A178" s="474">
        <f t="shared" si="6"/>
        <v>124</v>
      </c>
      <c r="B178" s="752" t="s">
        <v>486</v>
      </c>
      <c r="C178" s="679"/>
      <c r="D178" s="680"/>
      <c r="E178" s="751">
        <v>90670.8998202554</v>
      </c>
      <c r="F178" s="751">
        <v>1117</v>
      </c>
      <c r="G178" s="751">
        <v>2080</v>
      </c>
      <c r="H178" s="393">
        <f t="shared" si="7"/>
        <v>1</v>
      </c>
      <c r="I178" s="549"/>
      <c r="L178" s="549"/>
      <c r="M178" s="14"/>
    </row>
    <row r="179" spans="1:13" ht="19.5" customHeight="1">
      <c r="A179" s="474">
        <f t="shared" si="6"/>
        <v>125</v>
      </c>
      <c r="B179" s="752" t="s">
        <v>486</v>
      </c>
      <c r="C179" s="679"/>
      <c r="D179" s="680"/>
      <c r="E179" s="751">
        <v>60978.4133108214</v>
      </c>
      <c r="F179" s="751">
        <v>959</v>
      </c>
      <c r="G179" s="751">
        <v>2080</v>
      </c>
      <c r="H179" s="393">
        <f t="shared" si="7"/>
        <v>1</v>
      </c>
      <c r="I179" s="549"/>
      <c r="L179" s="549"/>
      <c r="M179" s="14"/>
    </row>
    <row r="180" spans="1:13" ht="19.5" customHeight="1">
      <c r="A180" s="474">
        <f t="shared" si="6"/>
        <v>126</v>
      </c>
      <c r="B180" s="752" t="s">
        <v>486</v>
      </c>
      <c r="C180" s="679"/>
      <c r="D180" s="680"/>
      <c r="E180" s="751">
        <v>51011.3785648122</v>
      </c>
      <c r="F180" s="751">
        <v>929</v>
      </c>
      <c r="G180" s="751">
        <v>2080</v>
      </c>
      <c r="H180" s="393">
        <f t="shared" si="7"/>
        <v>1</v>
      </c>
      <c r="I180" s="549"/>
      <c r="L180" s="549"/>
      <c r="M180" s="14"/>
    </row>
    <row r="181" spans="1:13" ht="19.5" customHeight="1">
      <c r="A181" s="474">
        <f t="shared" si="6"/>
        <v>127</v>
      </c>
      <c r="B181" s="752" t="s">
        <v>486</v>
      </c>
      <c r="C181" s="679"/>
      <c r="D181" s="680"/>
      <c r="E181" s="751">
        <v>56548.3532064749</v>
      </c>
      <c r="F181" s="751">
        <v>979</v>
      </c>
      <c r="G181" s="751">
        <v>2080</v>
      </c>
      <c r="H181" s="393">
        <f t="shared" si="7"/>
        <v>1</v>
      </c>
      <c r="I181" s="549"/>
      <c r="L181" s="549"/>
      <c r="M181" s="14"/>
    </row>
    <row r="182" spans="1:13" ht="19.5" customHeight="1">
      <c r="A182" s="474">
        <f t="shared" si="6"/>
        <v>128</v>
      </c>
      <c r="B182" s="752" t="s">
        <v>486</v>
      </c>
      <c r="C182" s="679"/>
      <c r="D182" s="680"/>
      <c r="E182" s="751">
        <v>79537.4856517123</v>
      </c>
      <c r="F182" s="751">
        <v>1591</v>
      </c>
      <c r="G182" s="751">
        <v>2080</v>
      </c>
      <c r="H182" s="393">
        <f t="shared" si="7"/>
        <v>1</v>
      </c>
      <c r="I182" s="549"/>
      <c r="L182" s="549"/>
      <c r="M182" s="14"/>
    </row>
    <row r="183" spans="1:13" ht="19.5" customHeight="1">
      <c r="A183" s="474">
        <f t="shared" si="6"/>
        <v>129</v>
      </c>
      <c r="B183" s="752" t="s">
        <v>486</v>
      </c>
      <c r="C183" s="547"/>
      <c r="D183" s="548"/>
      <c r="E183" s="751">
        <v>22464.641126424</v>
      </c>
      <c r="F183" s="751">
        <v>372</v>
      </c>
      <c r="G183" s="751">
        <v>832</v>
      </c>
      <c r="H183" s="393">
        <f aca="true" t="shared" si="8" ref="H183:H214">ROUND(G183/2080,2)</f>
        <v>0.4</v>
      </c>
      <c r="I183" s="549"/>
      <c r="L183" s="549"/>
      <c r="M183" s="14"/>
    </row>
    <row r="184" spans="1:13" ht="19.5" customHeight="1">
      <c r="A184" s="474">
        <f t="shared" si="6"/>
        <v>130</v>
      </c>
      <c r="B184" s="752" t="s">
        <v>486</v>
      </c>
      <c r="C184" s="679"/>
      <c r="D184" s="680"/>
      <c r="E184" s="751">
        <v>18842.5844627714</v>
      </c>
      <c r="F184" s="751">
        <v>174</v>
      </c>
      <c r="G184" s="751">
        <v>520</v>
      </c>
      <c r="H184" s="393">
        <f t="shared" si="8"/>
        <v>0.25</v>
      </c>
      <c r="I184" s="549"/>
      <c r="L184" s="549"/>
      <c r="M184" s="14"/>
    </row>
    <row r="185" spans="1:13" ht="19.5" customHeight="1">
      <c r="A185" s="474">
        <f t="shared" si="6"/>
        <v>131</v>
      </c>
      <c r="B185" s="752" t="s">
        <v>486</v>
      </c>
      <c r="C185" s="679"/>
      <c r="D185" s="680"/>
      <c r="E185" s="751">
        <v>55730.6808787983</v>
      </c>
      <c r="F185" s="751">
        <v>101</v>
      </c>
      <c r="G185" s="751">
        <v>1040</v>
      </c>
      <c r="H185" s="393">
        <f t="shared" si="8"/>
        <v>0.5</v>
      </c>
      <c r="I185" s="549"/>
      <c r="L185" s="549"/>
      <c r="M185" s="14"/>
    </row>
    <row r="186" spans="1:13" ht="19.5" customHeight="1">
      <c r="A186" s="474">
        <f t="shared" si="6"/>
        <v>132</v>
      </c>
      <c r="B186" s="752" t="s">
        <v>486</v>
      </c>
      <c r="C186" s="679"/>
      <c r="D186" s="680"/>
      <c r="E186" s="751">
        <v>92104.0566407522</v>
      </c>
      <c r="F186" s="751">
        <v>1603</v>
      </c>
      <c r="G186" s="751">
        <v>2080</v>
      </c>
      <c r="H186" s="393">
        <f t="shared" si="8"/>
        <v>1</v>
      </c>
      <c r="I186" s="549"/>
      <c r="L186" s="549"/>
      <c r="M186" s="14"/>
    </row>
    <row r="187" spans="1:13" ht="19.5" customHeight="1">
      <c r="A187" s="474">
        <f t="shared" si="6"/>
        <v>133</v>
      </c>
      <c r="B187" s="752" t="s">
        <v>486</v>
      </c>
      <c r="C187" s="705"/>
      <c r="D187" s="706"/>
      <c r="E187" s="751">
        <v>63177.5456772402</v>
      </c>
      <c r="F187" s="751">
        <v>667</v>
      </c>
      <c r="G187" s="751">
        <v>2080</v>
      </c>
      <c r="H187" s="393">
        <f t="shared" si="8"/>
        <v>1</v>
      </c>
      <c r="I187" s="549"/>
      <c r="L187" s="549"/>
      <c r="M187" s="14"/>
    </row>
    <row r="188" spans="1:13" ht="19.5" customHeight="1">
      <c r="A188" s="474">
        <f t="shared" si="6"/>
        <v>134</v>
      </c>
      <c r="B188" s="752" t="s">
        <v>486</v>
      </c>
      <c r="C188" s="681"/>
      <c r="D188" s="479"/>
      <c r="E188" s="751">
        <v>74327.9402343824</v>
      </c>
      <c r="F188" s="751">
        <v>717</v>
      </c>
      <c r="G188" s="751">
        <v>2080</v>
      </c>
      <c r="H188" s="393">
        <f t="shared" si="8"/>
        <v>1</v>
      </c>
      <c r="I188" s="549"/>
      <c r="L188" s="549"/>
      <c r="M188" s="14"/>
    </row>
    <row r="189" spans="1:13" ht="19.5" customHeight="1">
      <c r="A189" s="474">
        <f t="shared" si="6"/>
        <v>135</v>
      </c>
      <c r="B189" s="752" t="s">
        <v>486</v>
      </c>
      <c r="C189" s="681"/>
      <c r="D189" s="479"/>
      <c r="E189" s="751">
        <v>75810.5877198413</v>
      </c>
      <c r="F189" s="751">
        <v>1315</v>
      </c>
      <c r="G189" s="751">
        <v>2080</v>
      </c>
      <c r="H189" s="393">
        <f t="shared" si="8"/>
        <v>1</v>
      </c>
      <c r="I189" s="549"/>
      <c r="L189" s="549"/>
      <c r="M189" s="14"/>
    </row>
    <row r="190" spans="1:13" ht="19.5" customHeight="1">
      <c r="A190" s="474">
        <f t="shared" si="6"/>
        <v>136</v>
      </c>
      <c r="B190" s="752" t="s">
        <v>486</v>
      </c>
      <c r="C190" s="681"/>
      <c r="D190" s="479"/>
      <c r="E190" s="751">
        <v>46171.4085412835</v>
      </c>
      <c r="F190" s="751">
        <v>303</v>
      </c>
      <c r="G190" s="751">
        <v>1040</v>
      </c>
      <c r="H190" s="393">
        <f t="shared" si="8"/>
        <v>0.5</v>
      </c>
      <c r="I190" s="549"/>
      <c r="L190" s="549"/>
      <c r="M190" s="14"/>
    </row>
    <row r="191" spans="1:13" ht="19.5" customHeight="1">
      <c r="A191" s="474">
        <f t="shared" si="6"/>
        <v>137</v>
      </c>
      <c r="B191" s="752" t="s">
        <v>486</v>
      </c>
      <c r="C191" s="681"/>
      <c r="D191" s="479"/>
      <c r="E191" s="751">
        <v>73419.7976578765</v>
      </c>
      <c r="F191" s="751">
        <v>1518</v>
      </c>
      <c r="G191" s="751">
        <v>2080</v>
      </c>
      <c r="H191" s="393">
        <f t="shared" si="8"/>
        <v>1</v>
      </c>
      <c r="I191" s="549"/>
      <c r="L191" s="549"/>
      <c r="M191" s="14"/>
    </row>
    <row r="192" spans="1:13" ht="19.5" customHeight="1">
      <c r="A192" s="474">
        <f t="shared" si="6"/>
        <v>138</v>
      </c>
      <c r="B192" s="752" t="s">
        <v>486</v>
      </c>
      <c r="C192" s="681"/>
      <c r="D192" s="479"/>
      <c r="E192" s="751">
        <v>68505.3873823578</v>
      </c>
      <c r="F192" s="751">
        <v>1076</v>
      </c>
      <c r="G192" s="751">
        <v>2080</v>
      </c>
      <c r="H192" s="393">
        <f t="shared" si="8"/>
        <v>1</v>
      </c>
      <c r="I192" s="549"/>
      <c r="L192" s="549"/>
      <c r="M192" s="14"/>
    </row>
    <row r="193" spans="1:13" ht="19.5" customHeight="1">
      <c r="A193" s="474">
        <f t="shared" si="6"/>
        <v>139</v>
      </c>
      <c r="B193" s="752" t="s">
        <v>486</v>
      </c>
      <c r="C193" s="681"/>
      <c r="D193" s="479"/>
      <c r="E193" s="751">
        <v>33952.0625504513</v>
      </c>
      <c r="F193" s="751">
        <v>387</v>
      </c>
      <c r="G193" s="751">
        <v>1040</v>
      </c>
      <c r="H193" s="393">
        <f t="shared" si="8"/>
        <v>0.5</v>
      </c>
      <c r="I193" s="549"/>
      <c r="L193" s="549"/>
      <c r="M193" s="14"/>
    </row>
    <row r="194" spans="1:13" ht="19.5" customHeight="1">
      <c r="A194" s="474">
        <f t="shared" si="6"/>
        <v>140</v>
      </c>
      <c r="B194" s="752" t="s">
        <v>486</v>
      </c>
      <c r="C194" s="681"/>
      <c r="D194" s="479"/>
      <c r="E194" s="751">
        <v>71674.2887575768</v>
      </c>
      <c r="F194" s="751">
        <v>1642</v>
      </c>
      <c r="G194" s="751">
        <v>2080</v>
      </c>
      <c r="H194" s="393">
        <f t="shared" si="8"/>
        <v>1</v>
      </c>
      <c r="I194" s="549"/>
      <c r="L194" s="549"/>
      <c r="M194" s="14"/>
    </row>
    <row r="195" spans="1:13" ht="19.5" customHeight="1">
      <c r="A195" s="474">
        <f t="shared" si="6"/>
        <v>141</v>
      </c>
      <c r="B195" s="752" t="s">
        <v>486</v>
      </c>
      <c r="C195" s="681"/>
      <c r="D195" s="479"/>
      <c r="E195" s="751">
        <v>40222.4273586299</v>
      </c>
      <c r="F195" s="751">
        <v>6</v>
      </c>
      <c r="G195" s="751">
        <v>1040</v>
      </c>
      <c r="H195" s="393">
        <f t="shared" si="8"/>
        <v>0.5</v>
      </c>
      <c r="I195" s="549"/>
      <c r="L195" s="549"/>
      <c r="M195" s="14"/>
    </row>
    <row r="196" spans="1:13" ht="19.5" customHeight="1">
      <c r="A196" s="474">
        <f t="shared" si="6"/>
        <v>142</v>
      </c>
      <c r="B196" s="752" t="s">
        <v>486</v>
      </c>
      <c r="C196" s="681"/>
      <c r="D196" s="479"/>
      <c r="E196" s="751">
        <v>63490.5937044085</v>
      </c>
      <c r="F196" s="751">
        <v>547</v>
      </c>
      <c r="G196" s="751">
        <v>2080</v>
      </c>
      <c r="H196" s="393">
        <f t="shared" si="8"/>
        <v>1</v>
      </c>
      <c r="I196" s="549"/>
      <c r="L196" s="549"/>
      <c r="M196" s="14"/>
    </row>
    <row r="197" spans="1:13" ht="19.5" customHeight="1">
      <c r="A197" s="474">
        <f t="shared" si="6"/>
        <v>143</v>
      </c>
      <c r="B197" s="752" t="s">
        <v>486</v>
      </c>
      <c r="C197" s="681"/>
      <c r="D197" s="479"/>
      <c r="E197" s="751">
        <v>80650.0488545814</v>
      </c>
      <c r="F197" s="751">
        <v>1265</v>
      </c>
      <c r="G197" s="751">
        <v>2080</v>
      </c>
      <c r="H197" s="393">
        <f t="shared" si="8"/>
        <v>1</v>
      </c>
      <c r="I197" s="549"/>
      <c r="L197" s="549"/>
      <c r="M197" s="14"/>
    </row>
    <row r="198" spans="1:13" ht="19.5" customHeight="1">
      <c r="A198" s="474">
        <f t="shared" si="6"/>
        <v>144</v>
      </c>
      <c r="B198" s="752" t="s">
        <v>486</v>
      </c>
      <c r="C198" s="681"/>
      <c r="D198" s="479"/>
      <c r="E198" s="751">
        <v>15290.1743187206</v>
      </c>
      <c r="F198" s="751">
        <v>101</v>
      </c>
      <c r="G198" s="751">
        <v>520</v>
      </c>
      <c r="H198" s="393">
        <f t="shared" si="8"/>
        <v>0.25</v>
      </c>
      <c r="I198" s="549"/>
      <c r="L198" s="549"/>
      <c r="M198" s="14"/>
    </row>
    <row r="199" spans="1:13" ht="19.5" customHeight="1">
      <c r="A199" s="474">
        <f aca="true" t="shared" si="9" ref="A199:A222">+A198+1</f>
        <v>145</v>
      </c>
      <c r="B199" s="752" t="s">
        <v>486</v>
      </c>
      <c r="C199" s="681"/>
      <c r="D199" s="479"/>
      <c r="E199" s="751">
        <v>25684.0548027951</v>
      </c>
      <c r="F199" s="751">
        <v>344</v>
      </c>
      <c r="G199" s="751">
        <v>693.3333333333334</v>
      </c>
      <c r="H199" s="393">
        <f t="shared" si="8"/>
        <v>0.33</v>
      </c>
      <c r="I199" s="549"/>
      <c r="L199" s="549"/>
      <c r="M199" s="14"/>
    </row>
    <row r="200" spans="1:13" ht="19.5" customHeight="1">
      <c r="A200" s="474">
        <f t="shared" si="9"/>
        <v>146</v>
      </c>
      <c r="B200" s="752" t="s">
        <v>486</v>
      </c>
      <c r="C200" s="681"/>
      <c r="D200" s="479"/>
      <c r="E200" s="751">
        <v>18808.5296250412</v>
      </c>
      <c r="F200" s="751">
        <v>263</v>
      </c>
      <c r="G200" s="751">
        <v>302</v>
      </c>
      <c r="H200" s="393">
        <f t="shared" si="8"/>
        <v>0.15</v>
      </c>
      <c r="I200" s="549"/>
      <c r="L200" s="549"/>
      <c r="M200" s="14"/>
    </row>
    <row r="201" spans="1:13" ht="19.5" customHeight="1">
      <c r="A201" s="474">
        <f t="shared" si="9"/>
        <v>147</v>
      </c>
      <c r="B201" s="752" t="s">
        <v>486</v>
      </c>
      <c r="C201" s="681"/>
      <c r="D201" s="479"/>
      <c r="E201" s="751">
        <v>77444.4464199317</v>
      </c>
      <c r="F201" s="751">
        <v>1425</v>
      </c>
      <c r="G201" s="751">
        <v>2080</v>
      </c>
      <c r="H201" s="393">
        <f t="shared" si="8"/>
        <v>1</v>
      </c>
      <c r="I201" s="549"/>
      <c r="L201" s="549"/>
      <c r="M201" s="14"/>
    </row>
    <row r="202" spans="1:13" ht="19.5" customHeight="1">
      <c r="A202" s="474">
        <f t="shared" si="9"/>
        <v>148</v>
      </c>
      <c r="B202" s="752" t="s">
        <v>486</v>
      </c>
      <c r="C202" s="682"/>
      <c r="D202" s="683"/>
      <c r="E202" s="751">
        <v>67337.935434755</v>
      </c>
      <c r="F202" s="751"/>
      <c r="G202" s="751">
        <v>2080</v>
      </c>
      <c r="H202" s="393">
        <f t="shared" si="8"/>
        <v>1</v>
      </c>
      <c r="I202" s="549"/>
      <c r="L202" s="549"/>
      <c r="M202" s="14"/>
    </row>
    <row r="203" spans="1:13" ht="19.5" customHeight="1">
      <c r="A203" s="474">
        <f t="shared" si="9"/>
        <v>149</v>
      </c>
      <c r="B203" s="752" t="s">
        <v>486</v>
      </c>
      <c r="C203" s="682"/>
      <c r="D203" s="683"/>
      <c r="E203" s="751">
        <v>17419.6703433133</v>
      </c>
      <c r="F203" s="751">
        <v>70</v>
      </c>
      <c r="G203" s="751">
        <v>346.6666666666667</v>
      </c>
      <c r="H203" s="393">
        <f t="shared" si="8"/>
        <v>0.17</v>
      </c>
      <c r="I203" s="549"/>
      <c r="L203" s="549"/>
      <c r="M203" s="14"/>
    </row>
    <row r="204" spans="1:13" ht="19.5" customHeight="1">
      <c r="A204" s="474">
        <f t="shared" si="9"/>
        <v>150</v>
      </c>
      <c r="B204" s="752" t="s">
        <v>486</v>
      </c>
      <c r="C204" s="682"/>
      <c r="D204" s="683"/>
      <c r="E204" s="751">
        <v>52964.0560909331</v>
      </c>
      <c r="F204" s="751">
        <v>513</v>
      </c>
      <c r="G204" s="751">
        <v>1560</v>
      </c>
      <c r="H204" s="393">
        <f t="shared" si="8"/>
        <v>0.75</v>
      </c>
      <c r="I204" s="549"/>
      <c r="L204" s="549"/>
      <c r="M204" s="14"/>
    </row>
    <row r="205" spans="1:13" ht="19.5" customHeight="1">
      <c r="A205" s="474">
        <f t="shared" si="9"/>
        <v>151</v>
      </c>
      <c r="B205" s="752" t="s">
        <v>486</v>
      </c>
      <c r="C205" s="682"/>
      <c r="D205" s="683"/>
      <c r="E205" s="751">
        <v>34800.1969610109</v>
      </c>
      <c r="F205" s="751">
        <v>580</v>
      </c>
      <c r="G205" s="751">
        <v>1040</v>
      </c>
      <c r="H205" s="393">
        <f t="shared" si="8"/>
        <v>0.5</v>
      </c>
      <c r="I205" s="549"/>
      <c r="L205" s="549"/>
      <c r="M205" s="14"/>
    </row>
    <row r="206" spans="1:13" ht="19.5" customHeight="1">
      <c r="A206" s="474">
        <f t="shared" si="9"/>
        <v>152</v>
      </c>
      <c r="B206" s="752" t="s">
        <v>486</v>
      </c>
      <c r="C206" s="682"/>
      <c r="D206" s="683"/>
      <c r="E206" s="751">
        <v>93405.3565175211</v>
      </c>
      <c r="F206" s="751">
        <v>1297</v>
      </c>
      <c r="G206" s="751">
        <v>2080</v>
      </c>
      <c r="H206" s="393">
        <f t="shared" si="8"/>
        <v>1</v>
      </c>
      <c r="I206" s="549"/>
      <c r="L206" s="549"/>
      <c r="M206" s="14"/>
    </row>
    <row r="207" spans="1:13" ht="19.5" customHeight="1">
      <c r="A207" s="474">
        <f t="shared" si="9"/>
        <v>153</v>
      </c>
      <c r="B207" s="752" t="s">
        <v>486</v>
      </c>
      <c r="C207" s="682"/>
      <c r="D207" s="683"/>
      <c r="E207" s="751">
        <v>15862.0635393002</v>
      </c>
      <c r="F207" s="751">
        <v>179</v>
      </c>
      <c r="G207" s="751">
        <v>416</v>
      </c>
      <c r="H207" s="393">
        <f t="shared" si="8"/>
        <v>0.2</v>
      </c>
      <c r="I207" s="549"/>
      <c r="L207" s="549"/>
      <c r="M207" s="14"/>
    </row>
    <row r="208" spans="1:13" ht="19.5" customHeight="1">
      <c r="A208" s="474">
        <f t="shared" si="9"/>
        <v>154</v>
      </c>
      <c r="B208" s="752" t="s">
        <v>486</v>
      </c>
      <c r="C208" s="682"/>
      <c r="D208" s="683"/>
      <c r="E208" s="751">
        <v>64140.6075318073</v>
      </c>
      <c r="F208" s="751">
        <v>1060</v>
      </c>
      <c r="G208" s="751">
        <v>2080</v>
      </c>
      <c r="H208" s="393">
        <f t="shared" si="8"/>
        <v>1</v>
      </c>
      <c r="I208" s="549"/>
      <c r="L208" s="549"/>
      <c r="M208" s="14"/>
    </row>
    <row r="209" spans="1:13" ht="19.5" customHeight="1">
      <c r="A209" s="474">
        <f t="shared" si="9"/>
        <v>155</v>
      </c>
      <c r="B209" s="752" t="s">
        <v>486</v>
      </c>
      <c r="C209" s="682"/>
      <c r="D209" s="683"/>
      <c r="E209" s="751">
        <v>56467.9996667618</v>
      </c>
      <c r="F209" s="751">
        <v>1006</v>
      </c>
      <c r="G209" s="751">
        <v>2080</v>
      </c>
      <c r="H209" s="393">
        <f t="shared" si="8"/>
        <v>1</v>
      </c>
      <c r="I209" s="549"/>
      <c r="L209" s="549"/>
      <c r="M209" s="14"/>
    </row>
    <row r="210" spans="1:13" ht="19.5" customHeight="1">
      <c r="A210" s="474">
        <f t="shared" si="9"/>
        <v>156</v>
      </c>
      <c r="B210" s="752" t="s">
        <v>486</v>
      </c>
      <c r="C210" s="682"/>
      <c r="D210" s="683"/>
      <c r="E210" s="751">
        <v>70137.922971598</v>
      </c>
      <c r="F210" s="751">
        <v>851</v>
      </c>
      <c r="G210" s="751">
        <v>2080</v>
      </c>
      <c r="H210" s="393">
        <f t="shared" si="8"/>
        <v>1</v>
      </c>
      <c r="I210" s="549"/>
      <c r="L210" s="549"/>
      <c r="M210" s="14"/>
    </row>
    <row r="211" spans="1:13" ht="19.5" customHeight="1">
      <c r="A211" s="474">
        <f t="shared" si="9"/>
        <v>157</v>
      </c>
      <c r="B211" s="752" t="s">
        <v>486</v>
      </c>
      <c r="C211" s="682"/>
      <c r="D211" s="683"/>
      <c r="E211" s="751">
        <v>66883.2433021799</v>
      </c>
      <c r="F211" s="751">
        <v>1170</v>
      </c>
      <c r="G211" s="751">
        <v>2080</v>
      </c>
      <c r="H211" s="393">
        <f t="shared" si="8"/>
        <v>1</v>
      </c>
      <c r="I211" s="549"/>
      <c r="L211" s="549"/>
      <c r="M211" s="14"/>
    </row>
    <row r="212" spans="1:13" ht="19.5" customHeight="1">
      <c r="A212" s="474">
        <f t="shared" si="9"/>
        <v>158</v>
      </c>
      <c r="B212" s="752" t="s">
        <v>486</v>
      </c>
      <c r="C212" s="682"/>
      <c r="D212" s="683"/>
      <c r="E212" s="751">
        <v>54020.6822381642</v>
      </c>
      <c r="F212" s="751">
        <v>749</v>
      </c>
      <c r="G212" s="751">
        <v>2080</v>
      </c>
      <c r="H212" s="393">
        <f t="shared" si="8"/>
        <v>1</v>
      </c>
      <c r="I212" s="549"/>
      <c r="L212" s="549"/>
      <c r="M212" s="14"/>
    </row>
    <row r="213" spans="1:13" ht="19.5" customHeight="1">
      <c r="A213" s="474">
        <f t="shared" si="9"/>
        <v>159</v>
      </c>
      <c r="B213" s="752" t="s">
        <v>731</v>
      </c>
      <c r="C213" s="681"/>
      <c r="D213" s="479"/>
      <c r="E213" s="751">
        <v>69995.841221833</v>
      </c>
      <c r="F213" s="751">
        <v>622</v>
      </c>
      <c r="G213" s="751">
        <v>2080</v>
      </c>
      <c r="H213" s="393">
        <f t="shared" si="8"/>
        <v>1</v>
      </c>
      <c r="I213" s="549"/>
      <c r="L213" s="549"/>
      <c r="M213" s="14"/>
    </row>
    <row r="214" spans="1:13" ht="19.5" customHeight="1">
      <c r="A214" s="474">
        <f t="shared" si="9"/>
        <v>160</v>
      </c>
      <c r="B214" s="752" t="s">
        <v>727</v>
      </c>
      <c r="C214" s="681"/>
      <c r="D214" s="479"/>
      <c r="E214" s="751">
        <v>39944.4723023204</v>
      </c>
      <c r="F214" s="751">
        <v>156</v>
      </c>
      <c r="G214" s="751">
        <v>2080</v>
      </c>
      <c r="H214" s="393">
        <f t="shared" si="8"/>
        <v>1</v>
      </c>
      <c r="I214" s="549"/>
      <c r="L214" s="549"/>
      <c r="M214" s="14"/>
    </row>
    <row r="215" spans="1:13" ht="19.5" customHeight="1">
      <c r="A215" s="474">
        <f t="shared" si="9"/>
        <v>161</v>
      </c>
      <c r="B215" s="752" t="s">
        <v>727</v>
      </c>
      <c r="C215" s="681"/>
      <c r="D215" s="479"/>
      <c r="E215" s="751">
        <v>16260.9916384252</v>
      </c>
      <c r="F215" s="751">
        <v>267</v>
      </c>
      <c r="G215" s="751">
        <v>520</v>
      </c>
      <c r="H215" s="393">
        <f aca="true" t="shared" si="10" ref="H215:H223">ROUND(G215/2080,2)</f>
        <v>0.25</v>
      </c>
      <c r="I215" s="549"/>
      <c r="L215" s="549"/>
      <c r="M215" s="14"/>
    </row>
    <row r="216" spans="1:13" ht="19.5" customHeight="1">
      <c r="A216" s="474">
        <f t="shared" si="9"/>
        <v>162</v>
      </c>
      <c r="B216" s="752" t="s">
        <v>729</v>
      </c>
      <c r="C216" s="681"/>
      <c r="D216" s="479"/>
      <c r="E216" s="751">
        <v>65847.4408841766</v>
      </c>
      <c r="F216" s="751">
        <v>1355</v>
      </c>
      <c r="G216" s="751">
        <v>2080</v>
      </c>
      <c r="H216" s="393">
        <f t="shared" si="10"/>
        <v>1</v>
      </c>
      <c r="I216" s="549"/>
      <c r="L216" s="549"/>
      <c r="M216" s="14"/>
    </row>
    <row r="217" spans="1:13" ht="19.5" customHeight="1">
      <c r="A217" s="474">
        <f t="shared" si="9"/>
        <v>163</v>
      </c>
      <c r="B217" s="752" t="s">
        <v>729</v>
      </c>
      <c r="C217" s="681"/>
      <c r="D217" s="479"/>
      <c r="E217" s="751">
        <v>26348.8060495104</v>
      </c>
      <c r="F217" s="751"/>
      <c r="G217" s="751">
        <v>1040</v>
      </c>
      <c r="H217" s="393">
        <f t="shared" si="10"/>
        <v>0.5</v>
      </c>
      <c r="I217" s="549"/>
      <c r="L217" s="549"/>
      <c r="M217" s="14"/>
    </row>
    <row r="218" spans="1:13" ht="19.5" customHeight="1">
      <c r="A218" s="474">
        <f t="shared" si="9"/>
        <v>164</v>
      </c>
      <c r="B218" s="752" t="s">
        <v>729</v>
      </c>
      <c r="C218" s="681"/>
      <c r="D218" s="479"/>
      <c r="E218" s="751">
        <v>16970.545454085</v>
      </c>
      <c r="F218" s="751">
        <v>89</v>
      </c>
      <c r="G218" s="751">
        <v>520</v>
      </c>
      <c r="H218" s="393">
        <f t="shared" si="10"/>
        <v>0.25</v>
      </c>
      <c r="I218" s="549"/>
      <c r="L218" s="549"/>
      <c r="M218" s="14"/>
    </row>
    <row r="219" spans="1:13" ht="19.5" customHeight="1">
      <c r="A219" s="474">
        <f t="shared" si="9"/>
        <v>165</v>
      </c>
      <c r="B219" s="752" t="s">
        <v>729</v>
      </c>
      <c r="C219" s="681"/>
      <c r="D219" s="479"/>
      <c r="E219" s="751">
        <v>11015.5186726233</v>
      </c>
      <c r="F219" s="751">
        <v>12</v>
      </c>
      <c r="G219" s="751">
        <v>346.6666666666667</v>
      </c>
      <c r="H219" s="393">
        <f t="shared" si="10"/>
        <v>0.17</v>
      </c>
      <c r="I219" s="549"/>
      <c r="L219" s="549"/>
      <c r="M219" s="14"/>
    </row>
    <row r="220" spans="1:13" ht="19.5" customHeight="1">
      <c r="A220" s="474">
        <f t="shared" si="9"/>
        <v>166</v>
      </c>
      <c r="B220" s="752" t="s">
        <v>729</v>
      </c>
      <c r="C220" s="681"/>
      <c r="D220" s="479"/>
      <c r="E220" s="751">
        <v>86592.7808829116</v>
      </c>
      <c r="F220" s="751">
        <v>1565</v>
      </c>
      <c r="G220" s="751">
        <v>2080</v>
      </c>
      <c r="H220" s="393">
        <f t="shared" si="10"/>
        <v>1</v>
      </c>
      <c r="I220" s="549"/>
      <c r="L220" s="549"/>
      <c r="M220" s="14"/>
    </row>
    <row r="221" spans="1:13" ht="19.5" customHeight="1">
      <c r="A221" s="474">
        <f t="shared" si="9"/>
        <v>167</v>
      </c>
      <c r="B221" s="752" t="s">
        <v>485</v>
      </c>
      <c r="C221" s="681"/>
      <c r="D221" s="479"/>
      <c r="E221" s="751">
        <v>31457.9273533065</v>
      </c>
      <c r="F221" s="751">
        <v>406</v>
      </c>
      <c r="G221" s="751">
        <v>1352</v>
      </c>
      <c r="H221" s="393">
        <f t="shared" si="10"/>
        <v>0.65</v>
      </c>
      <c r="I221" s="549"/>
      <c r="L221" s="549"/>
      <c r="M221" s="14"/>
    </row>
    <row r="222" spans="1:13" ht="19.5" customHeight="1">
      <c r="A222" s="474">
        <f t="shared" si="9"/>
        <v>168</v>
      </c>
      <c r="B222" s="752" t="s">
        <v>485</v>
      </c>
      <c r="C222" s="681"/>
      <c r="D222" s="479"/>
      <c r="E222" s="751">
        <v>42653.7656792669</v>
      </c>
      <c r="F222" s="751"/>
      <c r="G222" s="751">
        <v>2080</v>
      </c>
      <c r="H222" s="393">
        <f t="shared" si="10"/>
        <v>1</v>
      </c>
      <c r="I222" s="549"/>
      <c r="L222" s="549"/>
      <c r="M222" s="14"/>
    </row>
    <row r="223" spans="1:9" ht="24.75" customHeight="1" thickBot="1">
      <c r="A223" s="293"/>
      <c r="B223" s="957" t="s">
        <v>260</v>
      </c>
      <c r="C223" s="958"/>
      <c r="D223" s="959"/>
      <c r="E223" s="473">
        <f>SUM(E55:E222)</f>
        <v>9388864.562004836</v>
      </c>
      <c r="F223" s="473">
        <f>SUM(F55:F222)</f>
        <v>127056</v>
      </c>
      <c r="G223" s="473">
        <f>SUM(G55:G222)</f>
        <v>285252.0666666667</v>
      </c>
      <c r="H223" s="654">
        <f t="shared" si="10"/>
        <v>137.14</v>
      </c>
      <c r="I223" s="549"/>
    </row>
    <row r="224" spans="1:13" s="146" customFormat="1" ht="19.5" customHeight="1" thickTop="1">
      <c r="A224" s="293"/>
      <c r="B224" s="375"/>
      <c r="C224" s="375"/>
      <c r="D224" s="375"/>
      <c r="E224" s="295"/>
      <c r="F224" s="294"/>
      <c r="G224" s="295"/>
      <c r="H224" s="396"/>
      <c r="I224" s="549"/>
      <c r="M224" s="549"/>
    </row>
    <row r="225" spans="1:9" ht="19.5" customHeight="1">
      <c r="A225" s="207" t="s">
        <v>91</v>
      </c>
      <c r="B225" s="971" t="s">
        <v>304</v>
      </c>
      <c r="C225" s="972"/>
      <c r="D225" s="973"/>
      <c r="E225" s="338"/>
      <c r="F225" s="338"/>
      <c r="G225" s="390"/>
      <c r="H225" s="391"/>
      <c r="I225" s="549"/>
    </row>
    <row r="226" spans="1:13" ht="19.5" customHeight="1">
      <c r="A226" s="474">
        <v>1</v>
      </c>
      <c r="B226" s="759" t="s">
        <v>479</v>
      </c>
      <c r="C226" s="675"/>
      <c r="D226" s="674"/>
      <c r="E226" s="760">
        <v>131101.497085345</v>
      </c>
      <c r="F226" s="760">
        <v>1154</v>
      </c>
      <c r="G226" s="760">
        <v>2080</v>
      </c>
      <c r="H226" s="346">
        <f aca="true" t="shared" si="11" ref="H226:H249">ROUND(G226/2080,2)</f>
        <v>1</v>
      </c>
      <c r="I226" s="549"/>
      <c r="J226" s="549"/>
      <c r="M226" s="14"/>
    </row>
    <row r="227" spans="1:13" ht="19.5" customHeight="1">
      <c r="A227" s="474">
        <v>2</v>
      </c>
      <c r="B227" s="759" t="s">
        <v>479</v>
      </c>
      <c r="C227" s="675"/>
      <c r="D227" s="674"/>
      <c r="E227" s="760">
        <v>63415.4817192176</v>
      </c>
      <c r="F227" s="760">
        <v>365</v>
      </c>
      <c r="G227" s="760">
        <v>1712</v>
      </c>
      <c r="H227" s="346">
        <f t="shared" si="11"/>
        <v>0.82</v>
      </c>
      <c r="I227" s="549"/>
      <c r="J227" s="549"/>
      <c r="M227" s="14"/>
    </row>
    <row r="228" spans="1:13" ht="19.5" customHeight="1">
      <c r="A228" s="474">
        <v>3</v>
      </c>
      <c r="B228" s="759" t="s">
        <v>479</v>
      </c>
      <c r="C228" s="675"/>
      <c r="D228" s="676"/>
      <c r="E228" s="760">
        <v>128021.315381523</v>
      </c>
      <c r="F228" s="760">
        <v>918</v>
      </c>
      <c r="G228" s="760">
        <v>1664</v>
      </c>
      <c r="H228" s="346">
        <f t="shared" si="11"/>
        <v>0.8</v>
      </c>
      <c r="I228" s="549"/>
      <c r="J228" s="549"/>
      <c r="M228" s="14"/>
    </row>
    <row r="229" spans="1:13" ht="19.5" customHeight="1">
      <c r="A229" s="474">
        <v>4</v>
      </c>
      <c r="B229" s="759" t="s">
        <v>479</v>
      </c>
      <c r="C229" s="675"/>
      <c r="D229" s="674"/>
      <c r="E229" s="760">
        <v>162707.3163946906</v>
      </c>
      <c r="F229" s="760">
        <v>1610</v>
      </c>
      <c r="G229" s="760">
        <v>2080</v>
      </c>
      <c r="H229" s="346">
        <f t="shared" si="11"/>
        <v>1</v>
      </c>
      <c r="I229" s="549"/>
      <c r="J229" s="549"/>
      <c r="M229" s="14"/>
    </row>
    <row r="230" spans="1:13" ht="19.5" customHeight="1">
      <c r="A230" s="474">
        <v>5</v>
      </c>
      <c r="B230" s="759" t="s">
        <v>479</v>
      </c>
      <c r="C230" s="675"/>
      <c r="D230" s="545"/>
      <c r="E230" s="760">
        <v>130784.418658971</v>
      </c>
      <c r="F230" s="760">
        <v>1205</v>
      </c>
      <c r="G230" s="760">
        <v>2080</v>
      </c>
      <c r="H230" s="346">
        <f>ROUND(G230/2080,2)</f>
        <v>1</v>
      </c>
      <c r="I230" s="549"/>
      <c r="J230" s="549"/>
      <c r="M230" s="14"/>
    </row>
    <row r="231" spans="1:13" ht="19.5" customHeight="1">
      <c r="A231" s="474">
        <v>6</v>
      </c>
      <c r="B231" s="759" t="s">
        <v>479</v>
      </c>
      <c r="C231" s="675"/>
      <c r="D231" s="674"/>
      <c r="E231" s="760">
        <v>39306.5700280893</v>
      </c>
      <c r="F231" s="760">
        <v>259</v>
      </c>
      <c r="G231" s="760">
        <v>375</v>
      </c>
      <c r="H231" s="346">
        <f t="shared" si="11"/>
        <v>0.18</v>
      </c>
      <c r="I231" s="549"/>
      <c r="J231" s="549"/>
      <c r="M231" s="14"/>
    </row>
    <row r="232" spans="1:13" ht="19.5" customHeight="1">
      <c r="A232" s="474">
        <v>7</v>
      </c>
      <c r="B232" s="759" t="s">
        <v>479</v>
      </c>
      <c r="C232" s="675"/>
      <c r="D232" s="674"/>
      <c r="E232" s="760">
        <v>32411.3304986667</v>
      </c>
      <c r="F232" s="760"/>
      <c r="G232" s="760">
        <v>346.6666666666667</v>
      </c>
      <c r="H232" s="346">
        <f t="shared" si="11"/>
        <v>0.17</v>
      </c>
      <c r="I232" s="549"/>
      <c r="J232" s="549"/>
      <c r="M232" s="14"/>
    </row>
    <row r="233" spans="1:13" ht="19.5" customHeight="1">
      <c r="A233" s="474">
        <v>8</v>
      </c>
      <c r="B233" s="759" t="s">
        <v>479</v>
      </c>
      <c r="C233" s="675"/>
      <c r="D233" s="674"/>
      <c r="E233" s="760">
        <v>111902.17140402</v>
      </c>
      <c r="F233" s="760">
        <v>675</v>
      </c>
      <c r="G233" s="760">
        <v>1664</v>
      </c>
      <c r="H233" s="346">
        <f t="shared" si="11"/>
        <v>0.8</v>
      </c>
      <c r="I233" s="549"/>
      <c r="J233" s="549"/>
      <c r="M233" s="14"/>
    </row>
    <row r="234" spans="1:13" ht="19.5" customHeight="1">
      <c r="A234" s="474">
        <v>9</v>
      </c>
      <c r="B234" s="759" t="s">
        <v>479</v>
      </c>
      <c r="C234" s="675"/>
      <c r="D234" s="674"/>
      <c r="E234" s="760">
        <v>63415.4715414418</v>
      </c>
      <c r="F234" s="760">
        <v>308</v>
      </c>
      <c r="G234" s="760">
        <v>1712</v>
      </c>
      <c r="H234" s="346">
        <f t="shared" si="11"/>
        <v>0.82</v>
      </c>
      <c r="I234" s="549"/>
      <c r="J234" s="549"/>
      <c r="M234" s="14"/>
    </row>
    <row r="235" spans="1:13" ht="19.5" customHeight="1">
      <c r="A235" s="474">
        <v>10</v>
      </c>
      <c r="B235" s="759" t="s">
        <v>479</v>
      </c>
      <c r="C235" s="675"/>
      <c r="D235" s="674"/>
      <c r="E235" s="760">
        <v>140271.398255184</v>
      </c>
      <c r="F235" s="760">
        <v>1934</v>
      </c>
      <c r="G235" s="760">
        <v>2080</v>
      </c>
      <c r="H235" s="346">
        <f t="shared" si="11"/>
        <v>1</v>
      </c>
      <c r="I235" s="549"/>
      <c r="J235" s="549"/>
      <c r="M235" s="14"/>
    </row>
    <row r="236" spans="1:13" ht="19.5" customHeight="1">
      <c r="A236" s="474">
        <v>11</v>
      </c>
      <c r="B236" s="759" t="s">
        <v>479</v>
      </c>
      <c r="C236" s="675"/>
      <c r="D236" s="674"/>
      <c r="E236" s="760">
        <v>133328.862601753</v>
      </c>
      <c r="F236" s="760">
        <v>1620</v>
      </c>
      <c r="G236" s="760">
        <v>2080</v>
      </c>
      <c r="H236" s="346">
        <f t="shared" si="11"/>
        <v>1</v>
      </c>
      <c r="I236" s="549"/>
      <c r="J236" s="549"/>
      <c r="M236" s="14"/>
    </row>
    <row r="237" spans="1:13" ht="19.5" customHeight="1">
      <c r="A237" s="474">
        <v>12</v>
      </c>
      <c r="B237" s="759" t="s">
        <v>479</v>
      </c>
      <c r="C237" s="675"/>
      <c r="D237" s="674"/>
      <c r="E237" s="760">
        <v>110899.1467844338</v>
      </c>
      <c r="F237" s="760">
        <v>1116</v>
      </c>
      <c r="G237" s="760">
        <v>2080</v>
      </c>
      <c r="H237" s="346">
        <f t="shared" si="11"/>
        <v>1</v>
      </c>
      <c r="I237" s="549"/>
      <c r="J237" s="549"/>
      <c r="M237" s="14"/>
    </row>
    <row r="238" spans="1:13" ht="19.5" customHeight="1">
      <c r="A238" s="474">
        <v>13</v>
      </c>
      <c r="B238" s="759" t="s">
        <v>479</v>
      </c>
      <c r="C238" s="675"/>
      <c r="D238" s="674"/>
      <c r="E238" s="760">
        <v>71557.8957138582</v>
      </c>
      <c r="F238" s="760">
        <v>1038</v>
      </c>
      <c r="G238" s="760">
        <v>1040</v>
      </c>
      <c r="H238" s="346">
        <f t="shared" si="11"/>
        <v>0.5</v>
      </c>
      <c r="I238" s="549"/>
      <c r="J238" s="549"/>
      <c r="M238" s="14"/>
    </row>
    <row r="239" spans="1:13" ht="19.5" customHeight="1">
      <c r="A239" s="474">
        <v>14</v>
      </c>
      <c r="B239" s="759" t="s">
        <v>479</v>
      </c>
      <c r="C239" s="675"/>
      <c r="D239" s="674"/>
      <c r="E239" s="760">
        <v>129221.5944848213</v>
      </c>
      <c r="F239" s="760">
        <v>1154</v>
      </c>
      <c r="G239" s="760">
        <v>2080</v>
      </c>
      <c r="H239" s="346">
        <f t="shared" si="11"/>
        <v>1</v>
      </c>
      <c r="I239" s="549"/>
      <c r="J239" s="549"/>
      <c r="M239" s="14"/>
    </row>
    <row r="240" spans="1:13" ht="19.5" customHeight="1">
      <c r="A240" s="474">
        <v>15</v>
      </c>
      <c r="B240" s="759" t="s">
        <v>479</v>
      </c>
      <c r="C240" s="675"/>
      <c r="D240" s="674"/>
      <c r="E240" s="760">
        <v>75524.1851096418</v>
      </c>
      <c r="F240" s="760">
        <v>966</v>
      </c>
      <c r="G240" s="760">
        <v>832</v>
      </c>
      <c r="H240" s="346">
        <f t="shared" si="11"/>
        <v>0.4</v>
      </c>
      <c r="I240" s="549"/>
      <c r="J240" s="549"/>
      <c r="M240" s="14"/>
    </row>
    <row r="241" spans="1:13" ht="19.5" customHeight="1">
      <c r="A241" s="474">
        <v>16</v>
      </c>
      <c r="B241" s="759" t="s">
        <v>479</v>
      </c>
      <c r="C241" s="675"/>
      <c r="D241" s="674"/>
      <c r="E241" s="760">
        <v>70316.2172475565</v>
      </c>
      <c r="F241" s="760">
        <v>382</v>
      </c>
      <c r="G241" s="760">
        <v>832</v>
      </c>
      <c r="H241" s="346">
        <f t="shared" si="11"/>
        <v>0.4</v>
      </c>
      <c r="I241" s="549"/>
      <c r="J241" s="551"/>
      <c r="M241" s="14"/>
    </row>
    <row r="242" spans="1:13" ht="19.5" customHeight="1">
      <c r="A242" s="474">
        <v>17</v>
      </c>
      <c r="B242" s="759" t="s">
        <v>594</v>
      </c>
      <c r="C242" s="675"/>
      <c r="D242" s="676"/>
      <c r="E242" s="760">
        <v>22746.5655152842</v>
      </c>
      <c r="F242" s="760"/>
      <c r="G242" s="760">
        <v>1040</v>
      </c>
      <c r="H242" s="346">
        <f t="shared" si="11"/>
        <v>0.5</v>
      </c>
      <c r="I242" s="549"/>
      <c r="J242" s="549"/>
      <c r="M242" s="14"/>
    </row>
    <row r="243" spans="1:13" ht="19.5" customHeight="1">
      <c r="A243" s="474">
        <v>18</v>
      </c>
      <c r="B243" s="759" t="s">
        <v>594</v>
      </c>
      <c r="C243" s="675"/>
      <c r="D243" s="674"/>
      <c r="E243" s="760">
        <v>19464.4058512841</v>
      </c>
      <c r="F243" s="760"/>
      <c r="G243" s="760">
        <v>1040</v>
      </c>
      <c r="H243" s="671">
        <f t="shared" si="11"/>
        <v>0.5</v>
      </c>
      <c r="I243" s="549"/>
      <c r="J243" s="549"/>
      <c r="M243" s="14"/>
    </row>
    <row r="244" spans="1:13" ht="19.5" customHeight="1">
      <c r="A244" s="474">
        <v>19</v>
      </c>
      <c r="B244" s="759" t="s">
        <v>594</v>
      </c>
      <c r="C244" s="675"/>
      <c r="D244" s="676"/>
      <c r="E244" s="760">
        <v>22985.814490336</v>
      </c>
      <c r="F244" s="760"/>
      <c r="G244" s="760">
        <v>1040</v>
      </c>
      <c r="H244" s="346">
        <f t="shared" si="11"/>
        <v>0.5</v>
      </c>
      <c r="I244" s="549"/>
      <c r="J244" s="549"/>
      <c r="M244" s="14"/>
    </row>
    <row r="245" spans="1:13" ht="19.5" customHeight="1">
      <c r="A245" s="474">
        <v>20</v>
      </c>
      <c r="B245" s="759" t="s">
        <v>594</v>
      </c>
      <c r="C245" s="675"/>
      <c r="D245" s="674"/>
      <c r="E245" s="760">
        <v>23952.8253219023</v>
      </c>
      <c r="F245" s="760"/>
      <c r="G245" s="760">
        <v>1040</v>
      </c>
      <c r="H245" s="346">
        <f t="shared" si="11"/>
        <v>0.5</v>
      </c>
      <c r="I245" s="549"/>
      <c r="J245" s="549"/>
      <c r="M245" s="14"/>
    </row>
    <row r="246" spans="1:13" ht="19.5" customHeight="1">
      <c r="A246" s="474">
        <v>21</v>
      </c>
      <c r="B246" s="759" t="s">
        <v>594</v>
      </c>
      <c r="C246" s="675"/>
      <c r="D246" s="674"/>
      <c r="E246" s="760">
        <v>27840.1860665808</v>
      </c>
      <c r="F246" s="760"/>
      <c r="G246" s="760">
        <v>1040</v>
      </c>
      <c r="H246" s="346">
        <f t="shared" si="11"/>
        <v>0.5</v>
      </c>
      <c r="I246" s="549"/>
      <c r="J246" s="549"/>
      <c r="M246" s="14"/>
    </row>
    <row r="247" spans="1:13" ht="19.5" customHeight="1">
      <c r="A247" s="474">
        <v>22</v>
      </c>
      <c r="B247" s="759" t="s">
        <v>594</v>
      </c>
      <c r="C247" s="675"/>
      <c r="D247" s="674"/>
      <c r="E247" s="760">
        <v>26540.646945020384</v>
      </c>
      <c r="F247" s="760"/>
      <c r="G247" s="760">
        <v>1040</v>
      </c>
      <c r="H247" s="346">
        <f t="shared" si="11"/>
        <v>0.5</v>
      </c>
      <c r="I247" s="684"/>
      <c r="J247" s="549"/>
      <c r="M247" s="14"/>
    </row>
    <row r="248" spans="1:13" ht="19.5" customHeight="1">
      <c r="A248" s="474">
        <v>23</v>
      </c>
      <c r="B248" s="759" t="s">
        <v>598</v>
      </c>
      <c r="C248" s="675"/>
      <c r="D248" s="674"/>
      <c r="E248" s="760">
        <v>37822.31984544681</v>
      </c>
      <c r="F248" s="760"/>
      <c r="G248" s="760">
        <v>1899</v>
      </c>
      <c r="H248" s="346">
        <f t="shared" si="11"/>
        <v>0.91</v>
      </c>
      <c r="I248" s="684"/>
      <c r="J248" s="549"/>
      <c r="M248" s="14"/>
    </row>
    <row r="249" spans="1:13" ht="19.5" customHeight="1">
      <c r="A249" s="474">
        <v>24</v>
      </c>
      <c r="B249" s="759" t="s">
        <v>483</v>
      </c>
      <c r="C249" s="675"/>
      <c r="D249" s="674"/>
      <c r="E249" s="760">
        <v>32176.2035228022</v>
      </c>
      <c r="F249" s="760">
        <v>272</v>
      </c>
      <c r="G249" s="760">
        <v>1248</v>
      </c>
      <c r="H249" s="346">
        <f t="shared" si="11"/>
        <v>0.6</v>
      </c>
      <c r="I249" s="549"/>
      <c r="J249" s="549"/>
      <c r="M249" s="14"/>
    </row>
    <row r="250" spans="1:13" ht="19.5" customHeight="1">
      <c r="A250" s="474">
        <v>25</v>
      </c>
      <c r="B250" s="759" t="s">
        <v>610</v>
      </c>
      <c r="C250" s="675"/>
      <c r="D250" s="678"/>
      <c r="E250" s="760">
        <v>227233.489909727</v>
      </c>
      <c r="F250" s="760">
        <v>1634</v>
      </c>
      <c r="G250" s="760">
        <v>1812</v>
      </c>
      <c r="H250" s="346">
        <f>ROUND(G250/2080,2)</f>
        <v>0.87</v>
      </c>
      <c r="I250" s="684"/>
      <c r="J250" s="549"/>
      <c r="M250" s="14"/>
    </row>
    <row r="251" spans="1:13" ht="19.5" customHeight="1">
      <c r="A251" s="474">
        <v>26</v>
      </c>
      <c r="B251" s="759" t="s">
        <v>610</v>
      </c>
      <c r="C251" s="689"/>
      <c r="D251" s="690"/>
      <c r="E251" s="760">
        <v>25571.6616249545</v>
      </c>
      <c r="F251" s="760">
        <v>59</v>
      </c>
      <c r="G251" s="760">
        <v>155.5</v>
      </c>
      <c r="H251" s="346">
        <f aca="true" t="shared" si="12" ref="H251:H285">ROUND(G251/2080,2)</f>
        <v>0.07</v>
      </c>
      <c r="J251" s="549"/>
      <c r="M251" s="14"/>
    </row>
    <row r="252" spans="1:13" ht="19.5" customHeight="1">
      <c r="A252" s="474">
        <v>27</v>
      </c>
      <c r="B252" s="759" t="s">
        <v>610</v>
      </c>
      <c r="C252" s="544"/>
      <c r="D252" s="545"/>
      <c r="E252" s="760">
        <v>282208.42004864</v>
      </c>
      <c r="F252" s="760">
        <v>2432</v>
      </c>
      <c r="G252" s="760">
        <v>2080</v>
      </c>
      <c r="H252" s="346">
        <f t="shared" si="12"/>
        <v>1</v>
      </c>
      <c r="I252" s="549"/>
      <c r="J252" s="549"/>
      <c r="M252" s="14"/>
    </row>
    <row r="253" spans="1:13" ht="19.5" customHeight="1">
      <c r="A253" s="474">
        <f>+A252+1</f>
        <v>28</v>
      </c>
      <c r="B253" s="759" t="s">
        <v>610</v>
      </c>
      <c r="C253" s="544"/>
      <c r="D253" s="545"/>
      <c r="E253" s="760">
        <v>120593.920668131</v>
      </c>
      <c r="F253" s="760">
        <v>358</v>
      </c>
      <c r="G253" s="760">
        <v>901</v>
      </c>
      <c r="H253" s="346">
        <f t="shared" si="12"/>
        <v>0.43</v>
      </c>
      <c r="I253" s="549"/>
      <c r="J253" s="549"/>
      <c r="M253" s="14"/>
    </row>
    <row r="254" spans="1:13" ht="19.5" customHeight="1">
      <c r="A254" s="474">
        <f aca="true" t="shared" si="13" ref="A254:A291">+A253+1</f>
        <v>29</v>
      </c>
      <c r="B254" s="759" t="s">
        <v>610</v>
      </c>
      <c r="C254" s="544"/>
      <c r="D254" s="545"/>
      <c r="E254" s="760">
        <v>71973.9733651576</v>
      </c>
      <c r="F254" s="760">
        <v>372</v>
      </c>
      <c r="G254" s="760">
        <v>452</v>
      </c>
      <c r="H254" s="346">
        <f t="shared" si="12"/>
        <v>0.22</v>
      </c>
      <c r="I254" s="549"/>
      <c r="J254" s="549"/>
      <c r="M254" s="14"/>
    </row>
    <row r="255" spans="1:13" ht="19.5" customHeight="1">
      <c r="A255" s="474">
        <f t="shared" si="13"/>
        <v>30</v>
      </c>
      <c r="B255" s="759" t="s">
        <v>610</v>
      </c>
      <c r="C255" s="544"/>
      <c r="D255" s="545"/>
      <c r="E255" s="760">
        <v>53331.5450407012</v>
      </c>
      <c r="F255" s="760">
        <v>200</v>
      </c>
      <c r="G255" s="760">
        <v>416</v>
      </c>
      <c r="H255" s="346">
        <f t="shared" si="12"/>
        <v>0.2</v>
      </c>
      <c r="I255" s="549"/>
      <c r="J255" s="549"/>
      <c r="M255" s="14"/>
    </row>
    <row r="256" spans="1:13" ht="19.5" customHeight="1">
      <c r="A256" s="474">
        <f t="shared" si="13"/>
        <v>31</v>
      </c>
      <c r="B256" s="759" t="s">
        <v>610</v>
      </c>
      <c r="C256" s="544"/>
      <c r="D256" s="545"/>
      <c r="E256" s="760">
        <v>225500.82536245</v>
      </c>
      <c r="F256" s="760">
        <v>1101</v>
      </c>
      <c r="G256" s="760">
        <v>1612</v>
      </c>
      <c r="H256" s="346">
        <f t="shared" si="12"/>
        <v>0.78</v>
      </c>
      <c r="I256" s="549"/>
      <c r="J256" s="549"/>
      <c r="M256" s="14"/>
    </row>
    <row r="257" spans="1:13" ht="19.5" customHeight="1">
      <c r="A257" s="474">
        <f t="shared" si="13"/>
        <v>32</v>
      </c>
      <c r="B257" s="759" t="s">
        <v>610</v>
      </c>
      <c r="C257" s="544"/>
      <c r="D257" s="545"/>
      <c r="E257" s="760">
        <v>323165.458906878</v>
      </c>
      <c r="F257" s="760">
        <v>925</v>
      </c>
      <c r="G257" s="760">
        <v>2080</v>
      </c>
      <c r="H257" s="346">
        <f t="shared" si="12"/>
        <v>1</v>
      </c>
      <c r="I257" s="549"/>
      <c r="J257" s="549"/>
      <c r="M257" s="14"/>
    </row>
    <row r="258" spans="1:13" ht="19.5" customHeight="1">
      <c r="A258" s="474">
        <f t="shared" si="13"/>
        <v>33</v>
      </c>
      <c r="B258" s="759" t="s">
        <v>610</v>
      </c>
      <c r="C258" s="544"/>
      <c r="D258" s="545"/>
      <c r="E258" s="760">
        <v>140795.278907451</v>
      </c>
      <c r="F258" s="760">
        <v>1203</v>
      </c>
      <c r="G258" s="760">
        <v>1248</v>
      </c>
      <c r="H258" s="346">
        <f t="shared" si="12"/>
        <v>0.6</v>
      </c>
      <c r="I258" s="549"/>
      <c r="J258" s="549"/>
      <c r="M258" s="14"/>
    </row>
    <row r="259" spans="1:13" ht="19.5" customHeight="1">
      <c r="A259" s="474">
        <f t="shared" si="13"/>
        <v>34</v>
      </c>
      <c r="B259" s="759" t="s">
        <v>729</v>
      </c>
      <c r="C259" s="544"/>
      <c r="D259" s="545"/>
      <c r="E259" s="760">
        <v>39880.0368039134</v>
      </c>
      <c r="F259" s="760"/>
      <c r="G259" s="760">
        <v>1040</v>
      </c>
      <c r="H259" s="346">
        <f t="shared" si="12"/>
        <v>0.5</v>
      </c>
      <c r="I259" s="549"/>
      <c r="J259" s="549"/>
      <c r="M259" s="14"/>
    </row>
    <row r="260" spans="1:13" ht="19.5" customHeight="1">
      <c r="A260" s="474">
        <f t="shared" si="13"/>
        <v>35</v>
      </c>
      <c r="B260" s="759" t="s">
        <v>775</v>
      </c>
      <c r="C260" s="544"/>
      <c r="D260" s="545"/>
      <c r="E260" s="760">
        <v>22874.1337567995</v>
      </c>
      <c r="F260" s="760"/>
      <c r="G260" s="760">
        <v>1040</v>
      </c>
      <c r="H260" s="346">
        <f t="shared" si="12"/>
        <v>0.5</v>
      </c>
      <c r="I260" s="549"/>
      <c r="J260" s="549"/>
      <c r="M260" s="14"/>
    </row>
    <row r="261" spans="1:13" ht="19.5" customHeight="1">
      <c r="A261" s="474">
        <f t="shared" si="13"/>
        <v>36</v>
      </c>
      <c r="B261" s="759" t="s">
        <v>89</v>
      </c>
      <c r="C261" s="544"/>
      <c r="D261" s="545"/>
      <c r="E261" s="760">
        <v>16239.8218648213</v>
      </c>
      <c r="F261" s="760">
        <v>429</v>
      </c>
      <c r="G261" s="760">
        <v>1040</v>
      </c>
      <c r="H261" s="346">
        <f t="shared" si="12"/>
        <v>0.5</v>
      </c>
      <c r="I261" s="549"/>
      <c r="J261" s="549"/>
      <c r="M261" s="14"/>
    </row>
    <row r="262" spans="1:13" ht="19.5" customHeight="1">
      <c r="A262" s="474">
        <f t="shared" si="13"/>
        <v>37</v>
      </c>
      <c r="B262" s="759" t="s">
        <v>89</v>
      </c>
      <c r="C262" s="544"/>
      <c r="D262" s="545"/>
      <c r="E262" s="760">
        <v>39263.0905699951</v>
      </c>
      <c r="F262" s="760">
        <v>6</v>
      </c>
      <c r="G262" s="760">
        <v>832</v>
      </c>
      <c r="H262" s="346">
        <f t="shared" si="12"/>
        <v>0.4</v>
      </c>
      <c r="I262" s="549"/>
      <c r="J262" s="549"/>
      <c r="M262" s="14"/>
    </row>
    <row r="263" spans="1:13" ht="19.5" customHeight="1">
      <c r="A263" s="474">
        <f t="shared" si="13"/>
        <v>38</v>
      </c>
      <c r="B263" s="759" t="s">
        <v>89</v>
      </c>
      <c r="C263" s="544"/>
      <c r="D263" s="545"/>
      <c r="E263" s="760">
        <v>96247.368090523</v>
      </c>
      <c r="F263" s="760"/>
      <c r="G263" s="760">
        <v>2080</v>
      </c>
      <c r="H263" s="346">
        <f t="shared" si="12"/>
        <v>1</v>
      </c>
      <c r="I263" s="549"/>
      <c r="J263" s="549"/>
      <c r="M263" s="14"/>
    </row>
    <row r="264" spans="1:13" ht="19.5" customHeight="1">
      <c r="A264" s="474">
        <f t="shared" si="13"/>
        <v>39</v>
      </c>
      <c r="B264" s="759" t="s">
        <v>89</v>
      </c>
      <c r="C264" s="544"/>
      <c r="D264" s="545"/>
      <c r="E264" s="760">
        <v>14976.2815361633</v>
      </c>
      <c r="F264" s="760">
        <v>346</v>
      </c>
      <c r="G264" s="760">
        <v>1040</v>
      </c>
      <c r="H264" s="346">
        <f t="shared" si="12"/>
        <v>0.5</v>
      </c>
      <c r="I264" s="549"/>
      <c r="J264" s="549"/>
      <c r="M264" s="14"/>
    </row>
    <row r="265" spans="1:13" ht="19.5" customHeight="1">
      <c r="A265" s="474">
        <f t="shared" si="13"/>
        <v>40</v>
      </c>
      <c r="B265" s="759" t="s">
        <v>89</v>
      </c>
      <c r="C265" s="544"/>
      <c r="D265" s="545"/>
      <c r="E265" s="760">
        <v>14268.305275748</v>
      </c>
      <c r="F265" s="760">
        <v>301</v>
      </c>
      <c r="G265" s="760">
        <v>1040</v>
      </c>
      <c r="H265" s="346">
        <f t="shared" si="12"/>
        <v>0.5</v>
      </c>
      <c r="I265" s="549"/>
      <c r="J265" s="549"/>
      <c r="M265" s="14"/>
    </row>
    <row r="266" spans="1:13" ht="19.5" customHeight="1">
      <c r="A266" s="474">
        <f t="shared" si="13"/>
        <v>41</v>
      </c>
      <c r="B266" s="759" t="s">
        <v>89</v>
      </c>
      <c r="C266" s="544"/>
      <c r="D266" s="545"/>
      <c r="E266" s="760">
        <v>14501.7732741618</v>
      </c>
      <c r="F266" s="760">
        <v>298</v>
      </c>
      <c r="G266" s="760">
        <v>1040</v>
      </c>
      <c r="H266" s="346">
        <f t="shared" si="12"/>
        <v>0.5</v>
      </c>
      <c r="I266" s="549"/>
      <c r="J266" s="549"/>
      <c r="M266" s="14"/>
    </row>
    <row r="267" spans="1:9" ht="19.5" customHeight="1">
      <c r="A267" s="474"/>
      <c r="B267" s="765" t="s">
        <v>773</v>
      </c>
      <c r="C267" s="761"/>
      <c r="D267" s="762"/>
      <c r="E267" s="764">
        <f>SUM(E226:E266)</f>
        <v>3536339.225474086</v>
      </c>
      <c r="F267" s="764">
        <f>SUM(F226:F266)</f>
        <v>24640</v>
      </c>
      <c r="G267" s="764">
        <f>SUM(G226:G266)</f>
        <v>54033.166666666664</v>
      </c>
      <c r="H267" s="763">
        <f>SUM(H226:H266)</f>
        <v>25.970000000000002</v>
      </c>
      <c r="I267" s="549"/>
    </row>
    <row r="268" spans="1:9" ht="19.5" customHeight="1">
      <c r="A268" s="474">
        <f>A266+1</f>
        <v>42</v>
      </c>
      <c r="B268" s="752" t="s">
        <v>483</v>
      </c>
      <c r="C268" s="544"/>
      <c r="D268" s="545"/>
      <c r="E268" s="766" t="s">
        <v>559</v>
      </c>
      <c r="F268" s="747">
        <v>1739</v>
      </c>
      <c r="G268" s="694">
        <f aca="true" t="shared" si="14" ref="G268:G284">F268*1.126</f>
        <v>1958.1139999999998</v>
      </c>
      <c r="H268" s="695">
        <f aca="true" t="shared" si="15" ref="H268:H284">ROUND(G268/2080,2)</f>
        <v>0.94</v>
      </c>
      <c r="I268" s="549"/>
    </row>
    <row r="269" spans="1:9" ht="19.5" customHeight="1">
      <c r="A269" s="474">
        <f t="shared" si="13"/>
        <v>43</v>
      </c>
      <c r="B269" s="752" t="s">
        <v>486</v>
      </c>
      <c r="C269" s="544"/>
      <c r="D269" s="545"/>
      <c r="E269" s="766" t="s">
        <v>559</v>
      </c>
      <c r="F269" s="747">
        <v>1538</v>
      </c>
      <c r="G269" s="694">
        <f t="shared" si="14"/>
        <v>1731.7879999999998</v>
      </c>
      <c r="H269" s="695">
        <f t="shared" si="15"/>
        <v>0.83</v>
      </c>
      <c r="I269" s="549"/>
    </row>
    <row r="270" spans="1:9" ht="19.5" customHeight="1">
      <c r="A270" s="474">
        <f t="shared" si="13"/>
        <v>44</v>
      </c>
      <c r="B270" s="752" t="s">
        <v>487</v>
      </c>
      <c r="C270" s="544"/>
      <c r="D270" s="545"/>
      <c r="E270" s="766" t="s">
        <v>559</v>
      </c>
      <c r="F270" s="747">
        <v>1432</v>
      </c>
      <c r="G270" s="694">
        <f t="shared" si="14"/>
        <v>1612.4319999999998</v>
      </c>
      <c r="H270" s="695">
        <f t="shared" si="15"/>
        <v>0.78</v>
      </c>
      <c r="I270" s="549"/>
    </row>
    <row r="271" spans="1:9" ht="19.5" customHeight="1">
      <c r="A271" s="474">
        <f t="shared" si="13"/>
        <v>45</v>
      </c>
      <c r="B271" s="752" t="s">
        <v>483</v>
      </c>
      <c r="C271" s="544"/>
      <c r="D271" s="545"/>
      <c r="E271" s="766" t="s">
        <v>559</v>
      </c>
      <c r="F271" s="747">
        <v>1397</v>
      </c>
      <c r="G271" s="694">
        <f t="shared" si="14"/>
        <v>1573.022</v>
      </c>
      <c r="H271" s="695">
        <f t="shared" si="15"/>
        <v>0.76</v>
      </c>
      <c r="I271" s="549"/>
    </row>
    <row r="272" spans="1:9" ht="19.5" customHeight="1">
      <c r="A272" s="474">
        <f t="shared" si="13"/>
        <v>46</v>
      </c>
      <c r="B272" s="752" t="s">
        <v>479</v>
      </c>
      <c r="C272" s="544"/>
      <c r="D272" s="545"/>
      <c r="E272" s="766" t="s">
        <v>559</v>
      </c>
      <c r="F272" s="747">
        <v>787</v>
      </c>
      <c r="G272" s="694">
        <f t="shared" si="14"/>
        <v>886.1619999999999</v>
      </c>
      <c r="H272" s="695">
        <f t="shared" si="15"/>
        <v>0.43</v>
      </c>
      <c r="I272" s="549"/>
    </row>
    <row r="273" spans="1:9" ht="19.5" customHeight="1">
      <c r="A273" s="474">
        <f t="shared" si="13"/>
        <v>47</v>
      </c>
      <c r="B273" s="752" t="s">
        <v>485</v>
      </c>
      <c r="C273" s="544"/>
      <c r="D273" s="545"/>
      <c r="E273" s="766" t="s">
        <v>559</v>
      </c>
      <c r="F273" s="747">
        <v>695</v>
      </c>
      <c r="G273" s="694">
        <f t="shared" si="14"/>
        <v>782.5699999999999</v>
      </c>
      <c r="H273" s="695">
        <f t="shared" si="15"/>
        <v>0.38</v>
      </c>
      <c r="I273" s="549"/>
    </row>
    <row r="274" spans="1:9" ht="19.5" customHeight="1">
      <c r="A274" s="474">
        <f t="shared" si="13"/>
        <v>48</v>
      </c>
      <c r="B274" s="752" t="s">
        <v>479</v>
      </c>
      <c r="C274" s="544"/>
      <c r="D274" s="545"/>
      <c r="E274" s="766" t="s">
        <v>559</v>
      </c>
      <c r="F274" s="747">
        <v>663</v>
      </c>
      <c r="G274" s="694">
        <f t="shared" si="14"/>
        <v>746.5379999999999</v>
      </c>
      <c r="H274" s="695">
        <f t="shared" si="15"/>
        <v>0.36</v>
      </c>
      <c r="I274" s="549"/>
    </row>
    <row r="275" spans="1:9" ht="19.5" customHeight="1">
      <c r="A275" s="474">
        <f t="shared" si="13"/>
        <v>49</v>
      </c>
      <c r="B275" s="752" t="s">
        <v>484</v>
      </c>
      <c r="C275" s="544"/>
      <c r="D275" s="545"/>
      <c r="E275" s="766" t="s">
        <v>559</v>
      </c>
      <c r="F275" s="747">
        <v>426</v>
      </c>
      <c r="G275" s="694">
        <f t="shared" si="14"/>
        <v>479.67599999999993</v>
      </c>
      <c r="H275" s="695">
        <f t="shared" si="15"/>
        <v>0.23</v>
      </c>
      <c r="I275" s="549"/>
    </row>
    <row r="276" spans="1:9" ht="19.5" customHeight="1">
      <c r="A276" s="474">
        <f t="shared" si="13"/>
        <v>50</v>
      </c>
      <c r="B276" s="752" t="s">
        <v>479</v>
      </c>
      <c r="C276" s="544"/>
      <c r="D276" s="545"/>
      <c r="E276" s="766" t="s">
        <v>559</v>
      </c>
      <c r="F276" s="747">
        <v>378</v>
      </c>
      <c r="G276" s="694">
        <f t="shared" si="14"/>
        <v>425.628</v>
      </c>
      <c r="H276" s="695">
        <f t="shared" si="15"/>
        <v>0.2</v>
      </c>
      <c r="I276" s="549"/>
    </row>
    <row r="277" spans="1:9" ht="19.5" customHeight="1">
      <c r="A277" s="474">
        <f t="shared" si="13"/>
        <v>51</v>
      </c>
      <c r="B277" s="752" t="s">
        <v>483</v>
      </c>
      <c r="C277" s="544"/>
      <c r="D277" s="545"/>
      <c r="E277" s="766" t="s">
        <v>559</v>
      </c>
      <c r="F277" s="747">
        <v>348</v>
      </c>
      <c r="G277" s="694">
        <f t="shared" si="14"/>
        <v>391.84799999999996</v>
      </c>
      <c r="H277" s="695">
        <f t="shared" si="15"/>
        <v>0.19</v>
      </c>
      <c r="I277" s="549"/>
    </row>
    <row r="278" spans="1:9" ht="19.5" customHeight="1">
      <c r="A278" s="474">
        <f t="shared" si="13"/>
        <v>52</v>
      </c>
      <c r="B278" s="752" t="s">
        <v>487</v>
      </c>
      <c r="C278" s="544"/>
      <c r="D278" s="545"/>
      <c r="E278" s="766" t="s">
        <v>559</v>
      </c>
      <c r="F278" s="747">
        <v>324</v>
      </c>
      <c r="G278" s="694">
        <f t="shared" si="14"/>
        <v>364.82399999999996</v>
      </c>
      <c r="H278" s="695">
        <f t="shared" si="15"/>
        <v>0.18</v>
      </c>
      <c r="I278" s="549"/>
    </row>
    <row r="279" spans="1:9" ht="19.5" customHeight="1">
      <c r="A279" s="474">
        <f t="shared" si="13"/>
        <v>53</v>
      </c>
      <c r="B279" s="752" t="s">
        <v>483</v>
      </c>
      <c r="C279" s="544"/>
      <c r="D279" s="545"/>
      <c r="E279" s="766" t="s">
        <v>559</v>
      </c>
      <c r="F279" s="747">
        <v>253</v>
      </c>
      <c r="G279" s="694">
        <f t="shared" si="14"/>
        <v>284.878</v>
      </c>
      <c r="H279" s="695">
        <f t="shared" si="15"/>
        <v>0.14</v>
      </c>
      <c r="I279" s="549"/>
    </row>
    <row r="280" spans="1:9" ht="19.5" customHeight="1">
      <c r="A280" s="474">
        <f t="shared" si="13"/>
        <v>54</v>
      </c>
      <c r="B280" s="752" t="s">
        <v>729</v>
      </c>
      <c r="C280" s="544"/>
      <c r="D280" s="545"/>
      <c r="E280" s="766" t="s">
        <v>559</v>
      </c>
      <c r="F280" s="747">
        <v>248</v>
      </c>
      <c r="G280" s="694">
        <f t="shared" si="14"/>
        <v>279.248</v>
      </c>
      <c r="H280" s="695">
        <f t="shared" si="15"/>
        <v>0.13</v>
      </c>
      <c r="I280" s="549"/>
    </row>
    <row r="281" spans="1:9" ht="19.5" customHeight="1">
      <c r="A281" s="474">
        <f t="shared" si="13"/>
        <v>55</v>
      </c>
      <c r="B281" s="752" t="s">
        <v>484</v>
      </c>
      <c r="C281" s="544"/>
      <c r="D281" s="545"/>
      <c r="E281" s="766" t="s">
        <v>559</v>
      </c>
      <c r="F281" s="747">
        <v>208</v>
      </c>
      <c r="G281" s="694">
        <f t="shared" si="14"/>
        <v>234.20799999999997</v>
      </c>
      <c r="H281" s="695">
        <f t="shared" si="15"/>
        <v>0.11</v>
      </c>
      <c r="I281" s="549"/>
    </row>
    <row r="282" spans="1:9" ht="19.5" customHeight="1">
      <c r="A282" s="474">
        <f t="shared" si="13"/>
        <v>56</v>
      </c>
      <c r="B282" s="752" t="s">
        <v>479</v>
      </c>
      <c r="C282" s="544"/>
      <c r="D282" s="545"/>
      <c r="E282" s="766" t="s">
        <v>559</v>
      </c>
      <c r="F282" s="747">
        <v>175</v>
      </c>
      <c r="G282" s="694">
        <f t="shared" si="14"/>
        <v>197.04999999999998</v>
      </c>
      <c r="H282" s="695">
        <f t="shared" si="15"/>
        <v>0.09</v>
      </c>
      <c r="I282" s="549"/>
    </row>
    <row r="283" spans="1:9" ht="19.5" customHeight="1">
      <c r="A283" s="474">
        <f t="shared" si="13"/>
        <v>57</v>
      </c>
      <c r="B283" s="752" t="s">
        <v>484</v>
      </c>
      <c r="C283" s="544"/>
      <c r="D283" s="545"/>
      <c r="E283" s="766" t="s">
        <v>559</v>
      </c>
      <c r="F283" s="747">
        <v>127</v>
      </c>
      <c r="G283" s="694">
        <f t="shared" si="14"/>
        <v>143.00199999999998</v>
      </c>
      <c r="H283" s="695">
        <f t="shared" si="15"/>
        <v>0.07</v>
      </c>
      <c r="I283" s="549"/>
    </row>
    <row r="284" spans="1:9" ht="19.5" customHeight="1">
      <c r="A284" s="474">
        <f t="shared" si="13"/>
        <v>58</v>
      </c>
      <c r="B284" s="752" t="s">
        <v>479</v>
      </c>
      <c r="C284" s="544"/>
      <c r="D284" s="545"/>
      <c r="E284" s="766" t="s">
        <v>559</v>
      </c>
      <c r="F284" s="747">
        <v>118</v>
      </c>
      <c r="G284" s="694">
        <f t="shared" si="14"/>
        <v>132.868</v>
      </c>
      <c r="H284" s="695">
        <f t="shared" si="15"/>
        <v>0.06</v>
      </c>
      <c r="I284" s="549"/>
    </row>
    <row r="285" spans="1:9" ht="19.5" customHeight="1">
      <c r="A285" s="474">
        <f t="shared" si="13"/>
        <v>59</v>
      </c>
      <c r="B285" s="752" t="s">
        <v>729</v>
      </c>
      <c r="C285" s="673"/>
      <c r="D285" s="674"/>
      <c r="E285" s="766" t="s">
        <v>559</v>
      </c>
      <c r="F285" s="747">
        <v>109</v>
      </c>
      <c r="G285" s="694">
        <f aca="true" t="shared" si="16" ref="G285:G291">F285*1.126</f>
        <v>122.734</v>
      </c>
      <c r="H285" s="695">
        <f t="shared" si="12"/>
        <v>0.06</v>
      </c>
      <c r="I285" s="549"/>
    </row>
    <row r="286" spans="1:9" ht="19.5" customHeight="1">
      <c r="A286" s="474">
        <f t="shared" si="13"/>
        <v>60</v>
      </c>
      <c r="B286" s="752" t="s">
        <v>736</v>
      </c>
      <c r="C286" s="673"/>
      <c r="D286" s="674"/>
      <c r="E286" s="766" t="s">
        <v>559</v>
      </c>
      <c r="F286" s="747">
        <v>107</v>
      </c>
      <c r="G286" s="694">
        <f t="shared" si="16"/>
        <v>120.48199999999999</v>
      </c>
      <c r="H286" s="695">
        <f aca="true" t="shared" si="17" ref="H286:H292">ROUND(G286/2080,2)</f>
        <v>0.06</v>
      </c>
      <c r="I286" s="549"/>
    </row>
    <row r="287" spans="1:9" ht="19.5" customHeight="1">
      <c r="A287" s="474">
        <f t="shared" si="13"/>
        <v>61</v>
      </c>
      <c r="B287" s="752" t="s">
        <v>729</v>
      </c>
      <c r="C287" s="673"/>
      <c r="D287" s="674"/>
      <c r="E287" s="766" t="s">
        <v>559</v>
      </c>
      <c r="F287" s="747">
        <v>99</v>
      </c>
      <c r="G287" s="694">
        <f t="shared" si="16"/>
        <v>111.47399999999999</v>
      </c>
      <c r="H287" s="695">
        <f t="shared" si="17"/>
        <v>0.05</v>
      </c>
      <c r="I287" s="549"/>
    </row>
    <row r="288" spans="1:9" ht="19.5" customHeight="1">
      <c r="A288" s="474">
        <f t="shared" si="13"/>
        <v>62</v>
      </c>
      <c r="B288" s="752" t="s">
        <v>729</v>
      </c>
      <c r="C288" s="673"/>
      <c r="D288" s="674"/>
      <c r="E288" s="766" t="s">
        <v>559</v>
      </c>
      <c r="F288" s="747">
        <v>52</v>
      </c>
      <c r="G288" s="694">
        <f t="shared" si="16"/>
        <v>58.55199999999999</v>
      </c>
      <c r="H288" s="695">
        <f t="shared" si="17"/>
        <v>0.03</v>
      </c>
      <c r="I288" s="549"/>
    </row>
    <row r="289" spans="1:9" ht="19.5" customHeight="1">
      <c r="A289" s="474">
        <f t="shared" si="13"/>
        <v>63</v>
      </c>
      <c r="B289" s="752" t="s">
        <v>736</v>
      </c>
      <c r="C289" s="673"/>
      <c r="D289" s="674"/>
      <c r="E289" s="766" t="s">
        <v>559</v>
      </c>
      <c r="F289" s="747">
        <v>36</v>
      </c>
      <c r="G289" s="694">
        <f t="shared" si="16"/>
        <v>40.535999999999994</v>
      </c>
      <c r="H289" s="695">
        <f t="shared" si="17"/>
        <v>0.02</v>
      </c>
      <c r="I289" s="549"/>
    </row>
    <row r="290" spans="1:9" ht="19.5" customHeight="1">
      <c r="A290" s="474">
        <f t="shared" si="13"/>
        <v>64</v>
      </c>
      <c r="B290" s="752" t="s">
        <v>483</v>
      </c>
      <c r="C290" s="673"/>
      <c r="D290" s="674"/>
      <c r="E290" s="766" t="s">
        <v>559</v>
      </c>
      <c r="F290" s="747">
        <v>27</v>
      </c>
      <c r="G290" s="694">
        <f t="shared" si="16"/>
        <v>30.401999999999997</v>
      </c>
      <c r="H290" s="695">
        <f t="shared" si="17"/>
        <v>0.01</v>
      </c>
      <c r="I290" s="549"/>
    </row>
    <row r="291" spans="1:9" ht="19.5" customHeight="1">
      <c r="A291" s="474">
        <f t="shared" si="13"/>
        <v>65</v>
      </c>
      <c r="B291" s="752" t="s">
        <v>736</v>
      </c>
      <c r="C291" s="673"/>
      <c r="D291" s="674"/>
      <c r="E291" s="766" t="s">
        <v>559</v>
      </c>
      <c r="F291" s="747">
        <v>4</v>
      </c>
      <c r="G291" s="694">
        <f t="shared" si="16"/>
        <v>4.504</v>
      </c>
      <c r="H291" s="695">
        <f t="shared" si="17"/>
        <v>0</v>
      </c>
      <c r="I291" s="549"/>
    </row>
    <row r="292" spans="1:9" ht="24.75" customHeight="1" thickBot="1">
      <c r="A292" s="399"/>
      <c r="B292" s="957" t="s">
        <v>348</v>
      </c>
      <c r="C292" s="958"/>
      <c r="D292" s="959"/>
      <c r="E292" s="662">
        <f>E267</f>
        <v>3536339.225474086</v>
      </c>
      <c r="F292" s="662">
        <f>SUM(F267:F291)</f>
        <v>35930</v>
      </c>
      <c r="G292" s="662">
        <f>SUM(G267:G291)</f>
        <v>66745.70666666665</v>
      </c>
      <c r="H292" s="663">
        <f t="shared" si="17"/>
        <v>32.09</v>
      </c>
      <c r="I292" s="549"/>
    </row>
    <row r="293" spans="1:8" ht="19.5" customHeight="1" thickBot="1" thickTop="1">
      <c r="A293" s="400"/>
      <c r="B293" s="401"/>
      <c r="C293" s="401"/>
      <c r="D293" s="401"/>
      <c r="E293" s="312"/>
      <c r="F293" s="311"/>
      <c r="G293" s="312"/>
      <c r="H293" s="402"/>
    </row>
    <row r="295" spans="5:8" ht="12">
      <c r="E295" s="550"/>
      <c r="F295" s="550"/>
      <c r="G295" s="550"/>
      <c r="H295" s="1053"/>
    </row>
    <row r="296" spans="5:7" ht="12">
      <c r="E296" s="550"/>
      <c r="F296" s="550"/>
      <c r="G296" s="550"/>
    </row>
    <row r="298" ht="12">
      <c r="F298" s="550"/>
    </row>
  </sheetData>
  <sheetProtection/>
  <mergeCells count="16">
    <mergeCell ref="A13:D15"/>
    <mergeCell ref="G13:H13"/>
    <mergeCell ref="B17:D17"/>
    <mergeCell ref="B18:D18"/>
    <mergeCell ref="A1:H1"/>
    <mergeCell ref="A2:H2"/>
    <mergeCell ref="A3:H3"/>
    <mergeCell ref="A4:H4"/>
    <mergeCell ref="C8:G8"/>
    <mergeCell ref="A12:H12"/>
    <mergeCell ref="B292:D292"/>
    <mergeCell ref="B225:D225"/>
    <mergeCell ref="B223:D223"/>
    <mergeCell ref="B52:D52"/>
    <mergeCell ref="B53:D53"/>
    <mergeCell ref="B54:D54"/>
  </mergeCells>
  <printOptions/>
  <pageMargins left="0.7" right="0.7" top="0.75" bottom="0.75" header="0.3" footer="0.3"/>
  <pageSetup fitToHeight="0" fitToWidth="1" horizontalDpi="600" verticalDpi="600" orientation="portrait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1"/>
  <sheetViews>
    <sheetView zoomScalePageLayoutView="0" workbookViewId="0" topLeftCell="B28">
      <selection activeCell="K44" sqref="K44"/>
    </sheetView>
  </sheetViews>
  <sheetFormatPr defaultColWidth="9.140625" defaultRowHeight="12.75"/>
  <cols>
    <col min="1" max="1" width="3.57421875" style="155" customWidth="1"/>
    <col min="2" max="4" width="13.140625" style="14" customWidth="1"/>
    <col min="5" max="5" width="12.421875" style="14" bestFit="1" customWidth="1"/>
    <col min="6" max="6" width="14.140625" style="14" bestFit="1" customWidth="1"/>
    <col min="7" max="7" width="10.421875" style="14" customWidth="1"/>
    <col min="8" max="8" width="10.140625" style="14" customWidth="1"/>
    <col min="9" max="9" width="8.140625" style="14" customWidth="1"/>
    <col min="10" max="10" width="10.8515625" style="14" bestFit="1" customWidth="1"/>
    <col min="11" max="11" width="11.00390625" style="14" bestFit="1" customWidth="1"/>
    <col min="12" max="13" width="12.140625" style="14" customWidth="1"/>
    <col min="14" max="16384" width="9.140625" style="14" customWidth="1"/>
  </cols>
  <sheetData>
    <row r="1" spans="1:22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75"/>
      <c r="O1" s="75"/>
      <c r="P1" s="75"/>
      <c r="Q1" s="75"/>
      <c r="R1" s="75"/>
      <c r="S1" s="75"/>
      <c r="T1" s="75"/>
      <c r="U1" s="75"/>
      <c r="V1" s="75"/>
    </row>
    <row r="2" spans="1:22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75"/>
      <c r="O2" s="75"/>
      <c r="P2" s="75"/>
      <c r="Q2" s="75"/>
      <c r="R2" s="75"/>
      <c r="S2" s="75"/>
      <c r="T2" s="75"/>
      <c r="U2" s="75"/>
      <c r="V2" s="75"/>
    </row>
    <row r="3" spans="1:22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75"/>
      <c r="O3" s="75"/>
      <c r="P3" s="75"/>
      <c r="Q3" s="75"/>
      <c r="R3" s="75"/>
      <c r="S3" s="75"/>
      <c r="T3" s="75"/>
      <c r="U3" s="75"/>
      <c r="V3" s="75"/>
    </row>
    <row r="4" spans="1:22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75"/>
      <c r="O4" s="75"/>
      <c r="P4" s="75"/>
      <c r="Q4" s="75"/>
      <c r="R4" s="75"/>
      <c r="S4" s="75"/>
      <c r="T4" s="75"/>
      <c r="U4" s="75"/>
      <c r="V4" s="75"/>
    </row>
    <row r="5" spans="1:22" ht="13.5" thickBot="1">
      <c r="A5" s="151"/>
      <c r="B5" s="12"/>
      <c r="C5" s="12"/>
      <c r="D5" s="12"/>
      <c r="E5" s="440"/>
      <c r="F5" s="440"/>
      <c r="G5" s="440"/>
      <c r="H5" s="440"/>
      <c r="I5" s="440"/>
      <c r="J5" s="440"/>
      <c r="K5" s="440"/>
      <c r="L5" s="440"/>
      <c r="M5" s="440"/>
      <c r="N5" s="424"/>
      <c r="O5" s="424"/>
      <c r="P5" s="424"/>
      <c r="Q5" s="424"/>
      <c r="R5" s="424"/>
      <c r="S5" s="424"/>
      <c r="T5" s="424"/>
      <c r="U5" s="424"/>
      <c r="V5" s="424"/>
    </row>
    <row r="6" spans="1:23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96"/>
      <c r="G6" s="96"/>
      <c r="H6" s="96"/>
      <c r="I6" s="96"/>
      <c r="J6" s="96"/>
      <c r="K6" s="148"/>
      <c r="L6" s="95" t="str">
        <f>'P1 Info &amp; Certification'!M20</f>
        <v>To</v>
      </c>
      <c r="M6" s="443">
        <f>'P1 Info &amp; Certification'!N20</f>
        <v>44012</v>
      </c>
      <c r="N6" s="147"/>
      <c r="O6" s="429"/>
      <c r="P6" s="13"/>
      <c r="Q6" s="426"/>
      <c r="R6" s="428"/>
      <c r="S6" s="147"/>
      <c r="T6" s="147"/>
      <c r="U6" s="428"/>
      <c r="V6" s="146"/>
      <c r="W6" s="146"/>
    </row>
    <row r="7" spans="1:23" ht="12.75">
      <c r="A7" s="153"/>
      <c r="B7" s="458"/>
      <c r="C7" s="458"/>
      <c r="D7" s="458"/>
      <c r="E7" s="13"/>
      <c r="F7" s="13"/>
      <c r="G7" s="13"/>
      <c r="H7" s="13"/>
      <c r="I7" s="13"/>
      <c r="J7" s="13"/>
      <c r="K7" s="13"/>
      <c r="L7" s="13"/>
      <c r="M7" s="81"/>
      <c r="N7" s="13"/>
      <c r="O7" s="13"/>
      <c r="P7" s="13"/>
      <c r="Q7" s="13"/>
      <c r="R7" s="13"/>
      <c r="S7" s="13"/>
      <c r="T7" s="13"/>
      <c r="U7" s="13"/>
      <c r="V7" s="146"/>
      <c r="W7" s="146"/>
    </row>
    <row r="8" spans="1:23" ht="22.5" customHeight="1" thickBot="1">
      <c r="A8" s="154"/>
      <c r="B8" s="84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885"/>
      <c r="I8" s="885"/>
      <c r="J8" s="885"/>
      <c r="K8" s="885"/>
      <c r="L8" s="885"/>
      <c r="M8" s="464"/>
      <c r="N8" s="427"/>
      <c r="O8" s="427"/>
      <c r="P8" s="427"/>
      <c r="Q8" s="427"/>
      <c r="R8" s="427"/>
      <c r="S8" s="427"/>
      <c r="T8" s="427"/>
      <c r="U8" s="427"/>
      <c r="V8" s="146"/>
      <c r="W8" s="146"/>
    </row>
    <row r="9" spans="1:23" ht="12.75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23"/>
      <c r="O9" s="423"/>
      <c r="P9" s="423"/>
      <c r="Q9" s="423"/>
      <c r="R9" s="423"/>
      <c r="S9" s="423"/>
      <c r="T9" s="423"/>
      <c r="U9" s="423"/>
      <c r="V9" s="146"/>
      <c r="W9" s="146"/>
    </row>
    <row r="10" spans="1:13" ht="12">
      <c r="A10" s="15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3.5" thickBot="1">
      <c r="A11" s="15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296" t="s">
        <v>349</v>
      </c>
    </row>
    <row r="12" spans="1:13" ht="28.5" customHeight="1">
      <c r="A12" s="963" t="s">
        <v>322</v>
      </c>
      <c r="B12" s="964"/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6"/>
    </row>
    <row r="13" spans="1:13" ht="12.75">
      <c r="A13" s="948" t="s">
        <v>322</v>
      </c>
      <c r="B13" s="949"/>
      <c r="C13" s="949"/>
      <c r="D13" s="974"/>
      <c r="E13" s="366"/>
      <c r="F13" s="366"/>
      <c r="G13" s="434" t="s">
        <v>310</v>
      </c>
      <c r="H13" s="435"/>
      <c r="I13" s="434" t="s">
        <v>313</v>
      </c>
      <c r="J13" s="435"/>
      <c r="K13" s="413"/>
      <c r="L13" s="967" t="s">
        <v>316</v>
      </c>
      <c r="M13" s="968"/>
    </row>
    <row r="14" spans="1:13" ht="12.75">
      <c r="A14" s="950"/>
      <c r="B14" s="951"/>
      <c r="C14" s="951"/>
      <c r="D14" s="951"/>
      <c r="E14" s="364" t="s">
        <v>308</v>
      </c>
      <c r="F14" s="364" t="s">
        <v>1</v>
      </c>
      <c r="G14" s="364"/>
      <c r="H14" s="364"/>
      <c r="I14" s="364"/>
      <c r="J14" s="364"/>
      <c r="K14" s="414"/>
      <c r="L14" s="169" t="s">
        <v>272</v>
      </c>
      <c r="M14" s="204" t="s">
        <v>317</v>
      </c>
    </row>
    <row r="15" spans="1:13" ht="12.75" customHeight="1">
      <c r="A15" s="952"/>
      <c r="B15" s="953"/>
      <c r="C15" s="953"/>
      <c r="D15" s="953"/>
      <c r="E15" s="367" t="s">
        <v>309</v>
      </c>
      <c r="F15" s="367" t="s">
        <v>266</v>
      </c>
      <c r="G15" s="367" t="s">
        <v>311</v>
      </c>
      <c r="H15" s="367" t="s">
        <v>312</v>
      </c>
      <c r="I15" s="367" t="s">
        <v>315</v>
      </c>
      <c r="J15" s="367" t="s">
        <v>314</v>
      </c>
      <c r="K15" s="415" t="s">
        <v>254</v>
      </c>
      <c r="L15" s="170" t="s">
        <v>205</v>
      </c>
      <c r="M15" s="205" t="s">
        <v>318</v>
      </c>
    </row>
    <row r="16" spans="1:13" ht="12.75" customHeight="1">
      <c r="A16" s="452"/>
      <c r="B16" s="447"/>
      <c r="C16" s="447"/>
      <c r="D16" s="447"/>
      <c r="E16" s="417" t="s">
        <v>60</v>
      </c>
      <c r="F16" s="417" t="s">
        <v>61</v>
      </c>
      <c r="G16" s="417" t="s">
        <v>62</v>
      </c>
      <c r="H16" s="417" t="s">
        <v>63</v>
      </c>
      <c r="I16" s="417" t="s">
        <v>64</v>
      </c>
      <c r="J16" s="417" t="s">
        <v>65</v>
      </c>
      <c r="K16" s="418" t="s">
        <v>66</v>
      </c>
      <c r="L16" s="419" t="s">
        <v>319</v>
      </c>
      <c r="M16" s="420" t="s">
        <v>320</v>
      </c>
    </row>
    <row r="17" spans="1:13" ht="12.75" customHeight="1">
      <c r="A17" s="298"/>
      <c r="B17" s="969"/>
      <c r="C17" s="970"/>
      <c r="D17" s="970"/>
      <c r="E17" s="365">
        <v>4</v>
      </c>
      <c r="F17" s="365">
        <v>500000</v>
      </c>
      <c r="G17" s="365">
        <v>150000</v>
      </c>
      <c r="H17" s="365">
        <v>100000</v>
      </c>
      <c r="I17" s="365">
        <v>2</v>
      </c>
      <c r="J17" s="365">
        <v>1</v>
      </c>
      <c r="K17" s="365">
        <v>10000</v>
      </c>
      <c r="L17" s="337">
        <v>8320</v>
      </c>
      <c r="M17" s="341">
        <f>L17/2080</f>
        <v>4</v>
      </c>
    </row>
    <row r="18" spans="1:13" ht="19.5" customHeight="1">
      <c r="A18" s="207" t="s">
        <v>83</v>
      </c>
      <c r="B18" s="971" t="s">
        <v>303</v>
      </c>
      <c r="C18" s="972"/>
      <c r="D18" s="973"/>
      <c r="E18" s="338"/>
      <c r="F18" s="338"/>
      <c r="G18" s="338"/>
      <c r="H18" s="338"/>
      <c r="I18" s="338"/>
      <c r="J18" s="338"/>
      <c r="K18" s="338"/>
      <c r="L18" s="390"/>
      <c r="M18" s="391"/>
    </row>
    <row r="19" spans="1:13" ht="19.5" customHeight="1">
      <c r="A19" s="253" t="s">
        <v>49</v>
      </c>
      <c r="B19" s="981" t="s">
        <v>229</v>
      </c>
      <c r="C19" s="982"/>
      <c r="D19" s="983"/>
      <c r="E19" s="340"/>
      <c r="F19" s="340">
        <f>'Form B-1 Detail'!F60</f>
        <v>7625790.157564886</v>
      </c>
      <c r="G19" s="340">
        <v>289894</v>
      </c>
      <c r="H19" s="340">
        <v>187212</v>
      </c>
      <c r="I19" s="340">
        <v>7</v>
      </c>
      <c r="J19" s="340">
        <v>5</v>
      </c>
      <c r="K19" s="476">
        <f>'Form B-1 Detail'!G60</f>
        <v>90205</v>
      </c>
      <c r="L19" s="476">
        <f>'Form B-1 Detail'!H60</f>
        <v>65327.47394139935</v>
      </c>
      <c r="M19" s="343">
        <f aca="true" t="shared" si="0" ref="M19:M25">ROUND(L19/2080,2)</f>
        <v>31.41</v>
      </c>
    </row>
    <row r="20" spans="1:13" ht="19.5" customHeight="1">
      <c r="A20" s="253" t="s">
        <v>50</v>
      </c>
      <c r="B20" s="981" t="s">
        <v>206</v>
      </c>
      <c r="C20" s="982"/>
      <c r="D20" s="983"/>
      <c r="E20" s="340"/>
      <c r="F20" s="340">
        <f>'Form B-1 Detail'!F78</f>
        <v>1436046.491827288</v>
      </c>
      <c r="G20" s="340">
        <v>144451</v>
      </c>
      <c r="H20" s="340">
        <v>99139</v>
      </c>
      <c r="I20" s="340">
        <v>2</v>
      </c>
      <c r="J20" s="340">
        <v>2</v>
      </c>
      <c r="K20" s="477">
        <f>'Form B-1 Detail'!G78</f>
        <v>32002</v>
      </c>
      <c r="L20" s="477">
        <f>'Form B-1 Detail'!H78</f>
        <v>23216.333333333336</v>
      </c>
      <c r="M20" s="343">
        <f t="shared" si="0"/>
        <v>11.16</v>
      </c>
    </row>
    <row r="21" spans="1:13" ht="19.5" customHeight="1">
      <c r="A21" s="253" t="s">
        <v>82</v>
      </c>
      <c r="B21" s="981" t="s">
        <v>287</v>
      </c>
      <c r="C21" s="982"/>
      <c r="D21" s="983"/>
      <c r="E21" s="340"/>
      <c r="F21" s="340">
        <f>'Form B-1 Detail'!F289</f>
        <v>13690085.76238301</v>
      </c>
      <c r="G21" s="340">
        <v>166562</v>
      </c>
      <c r="H21" s="340">
        <v>45191</v>
      </c>
      <c r="I21" s="340">
        <v>49</v>
      </c>
      <c r="J21" s="340">
        <v>42</v>
      </c>
      <c r="K21" s="476">
        <f>'Form B-1 Detail'!G289</f>
        <v>160213</v>
      </c>
      <c r="L21" s="476">
        <f>'Form B-1 Detail'!H289</f>
        <v>312788.3333333333</v>
      </c>
      <c r="M21" s="343">
        <f t="shared" si="0"/>
        <v>150.38</v>
      </c>
    </row>
    <row r="22" spans="1:13" ht="19.5" customHeight="1">
      <c r="A22" s="253" t="s">
        <v>51</v>
      </c>
      <c r="B22" s="981" t="s">
        <v>207</v>
      </c>
      <c r="C22" s="982"/>
      <c r="D22" s="983"/>
      <c r="E22" s="340"/>
      <c r="F22" s="340"/>
      <c r="G22" s="340"/>
      <c r="H22" s="340"/>
      <c r="I22" s="340"/>
      <c r="J22" s="340"/>
      <c r="K22" s="477">
        <f>'Form B-1 Detail'!G426</f>
        <v>58800</v>
      </c>
      <c r="L22" s="477">
        <f>'Form B-1 Detail'!H426</f>
        <v>39983.99999999999</v>
      </c>
      <c r="M22" s="343">
        <f t="shared" si="0"/>
        <v>19.22</v>
      </c>
    </row>
    <row r="23" spans="1:13" ht="19.5" customHeight="1">
      <c r="A23" s="253" t="s">
        <v>156</v>
      </c>
      <c r="B23" s="981" t="s">
        <v>323</v>
      </c>
      <c r="C23" s="982"/>
      <c r="D23" s="983"/>
      <c r="E23" s="340"/>
      <c r="F23" s="340"/>
      <c r="G23" s="340"/>
      <c r="H23" s="340"/>
      <c r="I23" s="340"/>
      <c r="J23" s="340"/>
      <c r="K23" s="477"/>
      <c r="L23" s="394"/>
      <c r="M23" s="343">
        <f t="shared" si="0"/>
        <v>0</v>
      </c>
    </row>
    <row r="24" spans="1:13" ht="19.5" customHeight="1">
      <c r="A24" s="253" t="s">
        <v>55</v>
      </c>
      <c r="B24" s="981" t="s">
        <v>324</v>
      </c>
      <c r="C24" s="982"/>
      <c r="D24" s="983"/>
      <c r="E24" s="340"/>
      <c r="F24" s="340"/>
      <c r="G24" s="340"/>
      <c r="H24" s="340"/>
      <c r="I24" s="340"/>
      <c r="J24" s="340"/>
      <c r="K24" s="477"/>
      <c r="L24" s="394"/>
      <c r="M24" s="343">
        <f t="shared" si="0"/>
        <v>0</v>
      </c>
    </row>
    <row r="25" spans="1:13" ht="19.5" customHeight="1">
      <c r="A25" s="253" t="s">
        <v>56</v>
      </c>
      <c r="B25" s="981" t="s">
        <v>358</v>
      </c>
      <c r="C25" s="982"/>
      <c r="D25" s="983"/>
      <c r="E25" s="340"/>
      <c r="F25" s="340">
        <f>'Form B-1 Detail'!F455</f>
        <v>1447502.4231073183</v>
      </c>
      <c r="G25" s="340">
        <v>247780</v>
      </c>
      <c r="H25" s="340">
        <v>39796</v>
      </c>
      <c r="I25" s="340">
        <v>2</v>
      </c>
      <c r="J25" s="340">
        <v>0</v>
      </c>
      <c r="K25" s="477">
        <f>'Form B-1 Detail'!G455</f>
        <v>12593</v>
      </c>
      <c r="L25" s="477">
        <f>'Form B-1 Detail'!H455</f>
        <v>37315.492770376106</v>
      </c>
      <c r="M25" s="343">
        <f t="shared" si="0"/>
        <v>17.94</v>
      </c>
    </row>
    <row r="26" spans="1:13" ht="24.75" customHeight="1" thickBot="1">
      <c r="A26" s="253"/>
      <c r="B26" s="945" t="s">
        <v>307</v>
      </c>
      <c r="C26" s="946"/>
      <c r="D26" s="947"/>
      <c r="E26" s="352">
        <f>SUM(E19:E25)</f>
        <v>0</v>
      </c>
      <c r="F26" s="352">
        <f>SUM(F19:F25)</f>
        <v>24199424.834882505</v>
      </c>
      <c r="G26" s="359"/>
      <c r="H26" s="359"/>
      <c r="I26" s="352">
        <f>SUM(I19:I25)</f>
        <v>60</v>
      </c>
      <c r="J26" s="352">
        <f>SUM(J19:J25)</f>
        <v>49</v>
      </c>
      <c r="K26" s="352">
        <f>SUM(K19:K25)</f>
        <v>353813</v>
      </c>
      <c r="L26" s="352">
        <f>SUM(L19:L25)</f>
        <v>478631.6333784421</v>
      </c>
      <c r="M26" s="344">
        <f>SUM(M19:M25)</f>
        <v>230.10999999999999</v>
      </c>
    </row>
    <row r="27" spans="1:14" ht="19.5" customHeight="1" thickTop="1">
      <c r="A27" s="253"/>
      <c r="B27" s="978"/>
      <c r="C27" s="978"/>
      <c r="D27" s="978"/>
      <c r="E27" s="487"/>
      <c r="F27" s="487"/>
      <c r="G27" s="487"/>
      <c r="H27" s="487"/>
      <c r="I27" s="487"/>
      <c r="J27" s="487"/>
      <c r="K27" s="294"/>
      <c r="L27" s="295"/>
      <c r="M27" s="300"/>
      <c r="N27" s="146"/>
    </row>
    <row r="28" spans="1:13" ht="19.5" customHeight="1">
      <c r="A28" s="207" t="s">
        <v>84</v>
      </c>
      <c r="B28" s="971" t="s">
        <v>301</v>
      </c>
      <c r="C28" s="972"/>
      <c r="D28" s="973"/>
      <c r="E28" s="338"/>
      <c r="F28" s="338"/>
      <c r="G28" s="338"/>
      <c r="H28" s="338"/>
      <c r="I28" s="338"/>
      <c r="J28" s="338"/>
      <c r="K28" s="338"/>
      <c r="L28" s="390"/>
      <c r="M28" s="391"/>
    </row>
    <row r="29" spans="1:13" ht="19.5" customHeight="1">
      <c r="A29" s="253" t="s">
        <v>49</v>
      </c>
      <c r="B29" s="981" t="s">
        <v>208</v>
      </c>
      <c r="C29" s="982"/>
      <c r="D29" s="983"/>
      <c r="E29" s="392"/>
      <c r="F29" s="392">
        <f>'Form B-2 Detail'!E39</f>
        <v>2642612.778083832</v>
      </c>
      <c r="G29" s="392">
        <v>200310</v>
      </c>
      <c r="H29" s="392">
        <v>153252</v>
      </c>
      <c r="I29" s="392">
        <v>2</v>
      </c>
      <c r="J29" s="392">
        <v>3</v>
      </c>
      <c r="K29" s="480">
        <f>'Form B-2 Detail'!F39</f>
        <v>28543</v>
      </c>
      <c r="L29" s="480">
        <f>'Form B-2 Detail'!G39</f>
        <v>31613</v>
      </c>
      <c r="M29" s="393">
        <f>ROUND(L29/2080,2)</f>
        <v>15.2</v>
      </c>
    </row>
    <row r="30" spans="1:13" ht="19.5" customHeight="1">
      <c r="A30" s="253" t="s">
        <v>50</v>
      </c>
      <c r="B30" s="981" t="s">
        <v>209</v>
      </c>
      <c r="C30" s="982"/>
      <c r="D30" s="983"/>
      <c r="E30" s="394"/>
      <c r="F30" s="394">
        <f>'Form B-2 Detail'!E68</f>
        <v>1751972.907469682</v>
      </c>
      <c r="G30" s="394">
        <v>108843</v>
      </c>
      <c r="H30" s="394">
        <v>71791</v>
      </c>
      <c r="I30" s="394">
        <v>2</v>
      </c>
      <c r="J30" s="394">
        <v>1</v>
      </c>
      <c r="K30" s="477">
        <f>'Form B-2 Detail'!F68</f>
        <v>28296</v>
      </c>
      <c r="L30" s="477">
        <f>'Form B-2 Detail'!G68</f>
        <v>40547.325</v>
      </c>
      <c r="M30" s="393">
        <f>ROUND(L30/2080,2)</f>
        <v>19.49</v>
      </c>
    </row>
    <row r="31" spans="1:13" ht="19.5" customHeight="1">
      <c r="A31" s="253" t="s">
        <v>82</v>
      </c>
      <c r="B31" s="981" t="s">
        <v>326</v>
      </c>
      <c r="C31" s="982"/>
      <c r="D31" s="983"/>
      <c r="E31" s="394"/>
      <c r="F31" s="394">
        <f>'Form B-2 Detail'!E80</f>
        <v>0</v>
      </c>
      <c r="G31" s="394"/>
      <c r="H31" s="394"/>
      <c r="I31" s="394"/>
      <c r="J31" s="394"/>
      <c r="K31" s="477">
        <f>'Form B-2 Detail'!F80</f>
        <v>1818</v>
      </c>
      <c r="L31" s="477">
        <f>'Form B-2 Detail'!G80</f>
        <v>2047.0679999999998</v>
      </c>
      <c r="M31" s="393">
        <f>ROUND(L31/2080,2)</f>
        <v>0.98</v>
      </c>
    </row>
    <row r="32" spans="1:13" ht="24.75" customHeight="1" thickBot="1">
      <c r="A32" s="293"/>
      <c r="B32" s="957" t="s">
        <v>305</v>
      </c>
      <c r="C32" s="958"/>
      <c r="D32" s="959"/>
      <c r="E32" s="473">
        <f>SUM(E29:E31)</f>
        <v>0</v>
      </c>
      <c r="F32" s="473">
        <f>SUM(F29:F31)</f>
        <v>4394585.6855535135</v>
      </c>
      <c r="G32" s="359"/>
      <c r="H32" s="359"/>
      <c r="I32" s="473">
        <f>SUM(I29:I31)</f>
        <v>4</v>
      </c>
      <c r="J32" s="473">
        <f>SUM(J29:J31)</f>
        <v>4</v>
      </c>
      <c r="K32" s="473">
        <f>SUM(K29:K31)</f>
        <v>58657</v>
      </c>
      <c r="L32" s="473">
        <f>SUM(L29:L31)</f>
        <v>74207.393</v>
      </c>
      <c r="M32" s="395">
        <f>SUM(M29:M31)</f>
        <v>35.669999999999995</v>
      </c>
    </row>
    <row r="33" spans="1:13" s="146" customFormat="1" ht="19.5" customHeight="1" thickTop="1">
      <c r="A33" s="293"/>
      <c r="B33" s="375"/>
      <c r="C33" s="375"/>
      <c r="D33" s="375"/>
      <c r="E33" s="295"/>
      <c r="F33" s="295"/>
      <c r="G33" s="295"/>
      <c r="H33" s="295"/>
      <c r="I33" s="295"/>
      <c r="J33" s="295"/>
      <c r="K33" s="294"/>
      <c r="L33" s="295"/>
      <c r="M33" s="396"/>
    </row>
    <row r="34" spans="1:13" ht="19.5" customHeight="1">
      <c r="A34" s="207" t="s">
        <v>91</v>
      </c>
      <c r="B34" s="971" t="s">
        <v>302</v>
      </c>
      <c r="C34" s="972"/>
      <c r="D34" s="973"/>
      <c r="E34" s="338"/>
      <c r="F34" s="338"/>
      <c r="G34" s="338"/>
      <c r="H34" s="338"/>
      <c r="I34" s="338"/>
      <c r="J34" s="338"/>
      <c r="K34" s="338"/>
      <c r="L34" s="390"/>
      <c r="M34" s="391"/>
    </row>
    <row r="35" spans="1:13" ht="19.5" customHeight="1">
      <c r="A35" s="253" t="s">
        <v>49</v>
      </c>
      <c r="B35" s="981" t="s">
        <v>321</v>
      </c>
      <c r="C35" s="982"/>
      <c r="D35" s="983"/>
      <c r="E35" s="345"/>
      <c r="F35" s="345">
        <f>SUM('Form B-3 Detail'!E250:E258)</f>
        <v>1470374.5738340903</v>
      </c>
      <c r="G35" s="345">
        <v>342052</v>
      </c>
      <c r="H35" s="345">
        <v>234659</v>
      </c>
      <c r="I35" s="345">
        <v>2</v>
      </c>
      <c r="J35" s="345">
        <v>2</v>
      </c>
      <c r="K35" s="480">
        <f>SUM('Form B-3 Detail'!F250:F258)</f>
        <v>8284</v>
      </c>
      <c r="L35" s="480">
        <f>SUM('Form B-3 Detail'!G250:G258)</f>
        <v>10756.5</v>
      </c>
      <c r="M35" s="346">
        <f>ROUND(L35/2080,2)</f>
        <v>5.17</v>
      </c>
    </row>
    <row r="36" spans="1:13" ht="19.5" customHeight="1">
      <c r="A36" s="253" t="s">
        <v>50</v>
      </c>
      <c r="B36" s="981" t="s">
        <v>210</v>
      </c>
      <c r="C36" s="982"/>
      <c r="D36" s="983"/>
      <c r="E36" s="340"/>
      <c r="F36" s="340">
        <f>'Form B-3 Detail'!E52</f>
        <v>2282059.042623768</v>
      </c>
      <c r="G36" s="340">
        <v>218454</v>
      </c>
      <c r="H36" s="340">
        <v>51108</v>
      </c>
      <c r="I36" s="340">
        <v>7</v>
      </c>
      <c r="J36" s="340">
        <v>5</v>
      </c>
      <c r="K36" s="477">
        <f>'Form B-3 Detail'!F52</f>
        <v>28575</v>
      </c>
      <c r="L36" s="477">
        <f>'Form B-3 Detail'!G52</f>
        <v>53972.565431012816</v>
      </c>
      <c r="M36" s="346">
        <f>ROUND(L36/2080,2)</f>
        <v>25.95</v>
      </c>
    </row>
    <row r="37" spans="1:13" ht="19.5" customHeight="1">
      <c r="A37" s="253" t="s">
        <v>82</v>
      </c>
      <c r="B37" s="173" t="s">
        <v>325</v>
      </c>
      <c r="C37" s="425"/>
      <c r="D37" s="174"/>
      <c r="E37" s="340"/>
      <c r="F37" s="340">
        <f>'Form B-3 Detail'!E223</f>
        <v>9388864.562004836</v>
      </c>
      <c r="G37" s="340">
        <v>89700</v>
      </c>
      <c r="H37" s="340">
        <v>46244</v>
      </c>
      <c r="I37" s="340">
        <v>50</v>
      </c>
      <c r="J37" s="340">
        <v>19</v>
      </c>
      <c r="K37" s="477">
        <f>'Form B-3 Detail'!F223</f>
        <v>127056</v>
      </c>
      <c r="L37" s="477">
        <f>'Form B-3 Detail'!G223</f>
        <v>285252.0666666667</v>
      </c>
      <c r="M37" s="346">
        <f>ROUND(L37/2080,2)</f>
        <v>137.14</v>
      </c>
    </row>
    <row r="38" spans="1:13" ht="19.5" customHeight="1">
      <c r="A38" s="253" t="s">
        <v>51</v>
      </c>
      <c r="B38" s="448" t="s">
        <v>327</v>
      </c>
      <c r="C38" s="449"/>
      <c r="D38" s="450"/>
      <c r="E38" s="340"/>
      <c r="F38" s="340">
        <f>SUM('Form B-3 Detail'!E226:E241)</f>
        <v>1594184.8729092139</v>
      </c>
      <c r="G38" s="340">
        <v>218020</v>
      </c>
      <c r="H38" s="340">
        <v>77047</v>
      </c>
      <c r="I38" s="340">
        <v>7</v>
      </c>
      <c r="J38" s="340">
        <v>0</v>
      </c>
      <c r="K38" s="477">
        <f>SUM('Form B-3 Detail'!F226:F241)</f>
        <v>14704</v>
      </c>
      <c r="L38" s="477">
        <f>SUM('Form B-3 Detail'!G226:G241)</f>
        <v>24737.666666666664</v>
      </c>
      <c r="M38" s="346">
        <f>ROUND(L38/2080,2)</f>
        <v>11.89</v>
      </c>
    </row>
    <row r="39" spans="1:13" ht="19.5" customHeight="1">
      <c r="A39" s="398" t="s">
        <v>156</v>
      </c>
      <c r="B39" s="173" t="s">
        <v>350</v>
      </c>
      <c r="C39" s="425"/>
      <c r="D39" s="174"/>
      <c r="E39" s="394"/>
      <c r="F39" s="394">
        <f>+'Form B-3 Detail'!E223+'Form B-3 Detail'!E292-'P12 Form B-4 Summary Personnel'!F35-'P12 Form B-4 Summary Personnel'!F37-'P12 Form B-4 Summary Personnel'!F38</f>
        <v>471779.7787307822</v>
      </c>
      <c r="G39" s="394">
        <v>98158</v>
      </c>
      <c r="H39" s="394">
        <v>28537</v>
      </c>
      <c r="I39" s="394">
        <v>9</v>
      </c>
      <c r="J39" s="394">
        <v>1</v>
      </c>
      <c r="K39" s="394">
        <f>+'Form B-3 Detail'!F223+'Form B-3 Detail'!F292-'P12 Form B-4 Summary Personnel'!K35-'P12 Form B-4 Summary Personnel'!K37-'P12 Form B-4 Summary Personnel'!K38</f>
        <v>12942</v>
      </c>
      <c r="L39" s="394">
        <f>+'Form B-3 Detail'!G223+'Form B-3 Detail'!G292-'P12 Form B-4 Summary Personnel'!L35-'P12 Form B-4 Summary Personnel'!L37-'P12 Form B-4 Summary Personnel'!L38</f>
        <v>31251.54</v>
      </c>
      <c r="M39" s="393">
        <f>ROUND(L39/2080,2)</f>
        <v>15.02</v>
      </c>
    </row>
    <row r="40" spans="1:13" ht="24.75" customHeight="1" thickBot="1">
      <c r="A40" s="399"/>
      <c r="B40" s="957" t="s">
        <v>306</v>
      </c>
      <c r="C40" s="958"/>
      <c r="D40" s="959"/>
      <c r="E40" s="473">
        <f>SUM(E35:E39)</f>
        <v>0</v>
      </c>
      <c r="F40" s="473">
        <f>SUM(F35:F39)</f>
        <v>15207262.830102691</v>
      </c>
      <c r="G40" s="359"/>
      <c r="H40" s="359"/>
      <c r="I40" s="473">
        <f>SUM(I35:I39)</f>
        <v>75</v>
      </c>
      <c r="J40" s="473">
        <f>SUM(J35:J39)</f>
        <v>27</v>
      </c>
      <c r="K40" s="473">
        <f>SUM(K35:K39)</f>
        <v>191561</v>
      </c>
      <c r="L40" s="473">
        <f>SUM(L35:L39)</f>
        <v>405970.3387643462</v>
      </c>
      <c r="M40" s="395">
        <f>SUM(M35:M39)</f>
        <v>195.17</v>
      </c>
    </row>
    <row r="41" spans="1:13" ht="19.5" customHeight="1" thickBot="1" thickTop="1">
      <c r="A41" s="400"/>
      <c r="B41" s="401"/>
      <c r="C41" s="401"/>
      <c r="D41" s="401"/>
      <c r="E41" s="312"/>
      <c r="F41" s="312"/>
      <c r="G41" s="312"/>
      <c r="H41" s="312"/>
      <c r="I41" s="312"/>
      <c r="J41" s="312"/>
      <c r="K41" s="311"/>
      <c r="L41" s="312"/>
      <c r="M41" s="402"/>
    </row>
  </sheetData>
  <sheetProtection password="E1AE" sheet="1" formatColumns="0" formatRows="0"/>
  <mergeCells count="28">
    <mergeCell ref="B40:D40"/>
    <mergeCell ref="B23:D23"/>
    <mergeCell ref="B34:D34"/>
    <mergeCell ref="B35:D35"/>
    <mergeCell ref="B36:D36"/>
    <mergeCell ref="B29:D29"/>
    <mergeCell ref="B30:D30"/>
    <mergeCell ref="B31:D31"/>
    <mergeCell ref="B32:D32"/>
    <mergeCell ref="B21:D21"/>
    <mergeCell ref="B22:D22"/>
    <mergeCell ref="B25:D25"/>
    <mergeCell ref="B26:D26"/>
    <mergeCell ref="B27:D27"/>
    <mergeCell ref="B28:D28"/>
    <mergeCell ref="B24:D24"/>
    <mergeCell ref="A13:D15"/>
    <mergeCell ref="L13:M13"/>
    <mergeCell ref="B17:D17"/>
    <mergeCell ref="B18:D18"/>
    <mergeCell ref="B19:D19"/>
    <mergeCell ref="B20:D20"/>
    <mergeCell ref="A1:M1"/>
    <mergeCell ref="A2:M2"/>
    <mergeCell ref="A3:M3"/>
    <mergeCell ref="A4:M4"/>
    <mergeCell ref="C8:L8"/>
    <mergeCell ref="A12:M12"/>
  </mergeCells>
  <printOptions horizontalCentered="1" verticalCentered="1"/>
  <pageMargins left="0.25" right="0.25" top="0.25" bottom="0.4" header="0.5" footer="0.25"/>
  <pageSetup fitToHeight="1" fitToWidth="1" horizontalDpi="600" verticalDpi="600" orientation="landscape" scale="80" r:id="rId1"/>
  <headerFooter alignWithMargins="0">
    <oddFooter>&amp;LDSS-16 10-24-2016&amp;RPage 12</oddFooter>
  </headerFooter>
  <rowBreaks count="1" manualBreakCount="1">
    <brk id="3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PageLayoutView="0" workbookViewId="0" topLeftCell="A26">
      <selection activeCell="L27" sqref="L27:N27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0.8515625" style="12" customWidth="1"/>
    <col min="10" max="10" width="12.00390625" style="12" customWidth="1"/>
    <col min="11" max="11" width="1.7109375" style="12" customWidth="1"/>
    <col min="12" max="12" width="10.140625" style="12" bestFit="1" customWidth="1"/>
    <col min="13" max="13" width="12.140625" style="12" customWidth="1"/>
    <col min="14" max="14" width="12.00390625" style="12" customWidth="1"/>
    <col min="15" max="16384" width="9.7109375" style="12" customWidth="1"/>
  </cols>
  <sheetData>
    <row r="1" spans="1:15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75"/>
    </row>
    <row r="2" spans="1:15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75"/>
    </row>
    <row r="3" spans="1:15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75"/>
    </row>
    <row r="4" spans="1:15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75"/>
    </row>
    <row r="5" spans="2:15" ht="13.5" thickBo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7.75" customHeight="1">
      <c r="A6" s="93" t="s">
        <v>54</v>
      </c>
      <c r="B6" s="77"/>
      <c r="C6" s="77"/>
      <c r="D6" s="78" t="s">
        <v>6</v>
      </c>
      <c r="E6" s="984">
        <f>'P1 Info &amp; Certification'!L20</f>
        <v>43647</v>
      </c>
      <c r="F6" s="984"/>
      <c r="G6" s="984"/>
      <c r="H6" s="82"/>
      <c r="I6" s="79"/>
      <c r="J6" s="78" t="s">
        <v>7</v>
      </c>
      <c r="K6" s="77"/>
      <c r="L6" s="984">
        <f>'P1 Info &amp; Certification'!N20</f>
        <v>44012</v>
      </c>
      <c r="M6" s="984"/>
      <c r="N6" s="80"/>
      <c r="O6" s="32"/>
    </row>
    <row r="7" spans="1:15" ht="12.75">
      <c r="A7" s="12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>
      <c r="A8" s="124" t="s">
        <v>59</v>
      </c>
      <c r="B8" s="90"/>
      <c r="C8" s="90"/>
      <c r="D8" s="990" t="str">
        <f>'P1 Info &amp; Certification'!E12</f>
        <v>COMMUNITY HEALTH CENTER, INC.</v>
      </c>
      <c r="E8" s="990"/>
      <c r="F8" s="990"/>
      <c r="G8" s="990"/>
      <c r="H8" s="990"/>
      <c r="I8" s="990"/>
      <c r="J8" s="990"/>
      <c r="K8" s="990"/>
      <c r="L8" s="990"/>
      <c r="M8" s="990"/>
      <c r="N8" s="991"/>
    </row>
    <row r="9" spans="1:15" ht="15.75" customHeight="1" thickBot="1">
      <c r="A9" s="992"/>
      <c r="B9" s="993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4"/>
      <c r="O9" s="13"/>
    </row>
    <row r="10" spans="1:15" ht="1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8" t="s">
        <v>202</v>
      </c>
      <c r="O10" s="13"/>
    </row>
    <row r="11" spans="1:15" ht="14.2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926" t="s">
        <v>130</v>
      </c>
      <c r="B12" s="927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8"/>
      <c r="O12" s="158"/>
    </row>
    <row r="13" spans="1:15" ht="21.75" customHeight="1">
      <c r="A13" s="177" t="s">
        <v>83</v>
      </c>
      <c r="B13" s="159"/>
      <c r="C13" s="930" t="s">
        <v>230</v>
      </c>
      <c r="D13" s="930"/>
      <c r="E13" s="930"/>
      <c r="F13" s="930"/>
      <c r="G13" s="930"/>
      <c r="H13" s="930"/>
      <c r="I13" s="930"/>
      <c r="J13" s="930"/>
      <c r="K13" s="930"/>
      <c r="L13" s="985">
        <f>'P5 Form A-3 - Mental Health'!J45</f>
        <v>99329681.52006884</v>
      </c>
      <c r="M13" s="985"/>
      <c r="N13" s="986"/>
      <c r="O13" s="13"/>
    </row>
    <row r="14" spans="1:15" ht="21.75" customHeight="1">
      <c r="A14" s="177" t="s">
        <v>84</v>
      </c>
      <c r="B14" s="159"/>
      <c r="C14" s="930" t="s">
        <v>231</v>
      </c>
      <c r="D14" s="930"/>
      <c r="E14" s="930"/>
      <c r="F14" s="930"/>
      <c r="G14" s="930"/>
      <c r="H14" s="930"/>
      <c r="I14" s="930"/>
      <c r="J14" s="930"/>
      <c r="K14" s="930"/>
      <c r="L14" s="931">
        <f>'P6 Form A-4 - Non-Allow Other'!J36</f>
        <v>828760.9350115774</v>
      </c>
      <c r="M14" s="931"/>
      <c r="N14" s="932"/>
      <c r="O14" s="13"/>
    </row>
    <row r="15" spans="1:15" ht="21.75" customHeight="1">
      <c r="A15" s="177" t="s">
        <v>91</v>
      </c>
      <c r="B15" s="159"/>
      <c r="C15" s="930" t="s">
        <v>132</v>
      </c>
      <c r="D15" s="930"/>
      <c r="E15" s="930"/>
      <c r="F15" s="930"/>
      <c r="G15" s="930"/>
      <c r="H15" s="930"/>
      <c r="I15" s="930"/>
      <c r="J15" s="930"/>
      <c r="K15" s="930"/>
      <c r="L15" s="931">
        <f>SUM(L13:N14)</f>
        <v>100158442.45508042</v>
      </c>
      <c r="M15" s="931"/>
      <c r="N15" s="932"/>
      <c r="O15" s="13"/>
    </row>
    <row r="16" spans="1:15" ht="21.75" customHeight="1">
      <c r="A16" s="177" t="s">
        <v>92</v>
      </c>
      <c r="B16" s="159"/>
      <c r="C16" s="930" t="s">
        <v>133</v>
      </c>
      <c r="D16" s="930"/>
      <c r="E16" s="930"/>
      <c r="F16" s="930"/>
      <c r="G16" s="930"/>
      <c r="H16" s="930"/>
      <c r="I16" s="930"/>
      <c r="J16" s="930"/>
      <c r="K16" s="930"/>
      <c r="L16" s="988">
        <f>ROUND(L13/L15,4)</f>
        <v>0.9917</v>
      </c>
      <c r="M16" s="988"/>
      <c r="N16" s="989"/>
      <c r="O16" s="13"/>
    </row>
    <row r="17" spans="1:15" ht="21.75" customHeight="1">
      <c r="A17" s="177" t="s">
        <v>75</v>
      </c>
      <c r="B17" s="159"/>
      <c r="C17" s="930" t="s">
        <v>232</v>
      </c>
      <c r="D17" s="930"/>
      <c r="E17" s="930"/>
      <c r="F17" s="930"/>
      <c r="G17" s="930"/>
      <c r="H17" s="930"/>
      <c r="I17" s="930"/>
      <c r="J17" s="930"/>
      <c r="K17" s="930"/>
      <c r="L17" s="931">
        <f>'P7 Form A-5 - OH '!J50</f>
        <v>33541246.540000003</v>
      </c>
      <c r="M17" s="931"/>
      <c r="N17" s="932"/>
      <c r="O17" s="13"/>
    </row>
    <row r="18" spans="1:15" ht="21.75" customHeight="1">
      <c r="A18" s="177" t="s">
        <v>102</v>
      </c>
      <c r="B18" s="159"/>
      <c r="C18" s="930" t="s">
        <v>134</v>
      </c>
      <c r="D18" s="930"/>
      <c r="E18" s="930"/>
      <c r="F18" s="930"/>
      <c r="G18" s="930"/>
      <c r="H18" s="930"/>
      <c r="I18" s="930"/>
      <c r="J18" s="930"/>
      <c r="K18" s="930"/>
      <c r="L18" s="931">
        <f>ROUND(L16*L17,0)</f>
        <v>33262854</v>
      </c>
      <c r="M18" s="931"/>
      <c r="N18" s="932"/>
      <c r="O18" s="13"/>
    </row>
    <row r="19" spans="1:15" ht="21.75" customHeight="1">
      <c r="A19" s="177" t="s">
        <v>103</v>
      </c>
      <c r="B19" s="159"/>
      <c r="C19" s="930" t="s">
        <v>135</v>
      </c>
      <c r="D19" s="930"/>
      <c r="E19" s="930"/>
      <c r="F19" s="930"/>
      <c r="G19" s="930"/>
      <c r="H19" s="930"/>
      <c r="I19" s="930"/>
      <c r="J19" s="930"/>
      <c r="K19" s="930"/>
      <c r="L19" s="931">
        <f>L13+L18</f>
        <v>132592535.52006884</v>
      </c>
      <c r="M19" s="931"/>
      <c r="N19" s="932"/>
      <c r="O19" s="13"/>
    </row>
    <row r="20" spans="1:15" ht="21.75" customHeight="1">
      <c r="A20" s="177" t="s">
        <v>115</v>
      </c>
      <c r="B20" s="159"/>
      <c r="C20" s="930" t="s">
        <v>233</v>
      </c>
      <c r="D20" s="930"/>
      <c r="E20" s="930"/>
      <c r="F20" s="930"/>
      <c r="G20" s="930"/>
      <c r="H20" s="930"/>
      <c r="I20" s="930"/>
      <c r="J20" s="930"/>
      <c r="K20" s="930"/>
      <c r="L20" s="931">
        <f>ROUND(L19*0.3,0)</f>
        <v>39777761</v>
      </c>
      <c r="M20" s="931"/>
      <c r="N20" s="932"/>
      <c r="O20" s="13"/>
    </row>
    <row r="21" spans="1:21" ht="21.75" customHeight="1">
      <c r="A21" s="177" t="s">
        <v>126</v>
      </c>
      <c r="B21" s="159"/>
      <c r="C21" s="930" t="s">
        <v>354</v>
      </c>
      <c r="D21" s="930"/>
      <c r="E21" s="930"/>
      <c r="F21" s="930"/>
      <c r="G21" s="930"/>
      <c r="H21" s="930"/>
      <c r="I21" s="930"/>
      <c r="J21" s="930"/>
      <c r="K21" s="930"/>
      <c r="L21" s="931">
        <f>IF(L20-L18&gt;0,0,L20-L18)</f>
        <v>0</v>
      </c>
      <c r="M21" s="931"/>
      <c r="N21" s="932"/>
      <c r="O21" s="13"/>
      <c r="S21" s="938"/>
      <c r="T21" s="938"/>
      <c r="U21" s="938"/>
    </row>
    <row r="22" spans="1:15" ht="21.75" customHeight="1">
      <c r="A22" s="177" t="s">
        <v>127</v>
      </c>
      <c r="B22" s="159"/>
      <c r="C22" s="930" t="s">
        <v>136</v>
      </c>
      <c r="D22" s="930"/>
      <c r="E22" s="930"/>
      <c r="F22" s="930"/>
      <c r="G22" s="930"/>
      <c r="H22" s="930"/>
      <c r="I22" s="930"/>
      <c r="J22" s="930"/>
      <c r="K22" s="930"/>
      <c r="L22" s="931">
        <f>L18+L21</f>
        <v>33262854</v>
      </c>
      <c r="M22" s="931"/>
      <c r="N22" s="932"/>
      <c r="O22" s="13"/>
    </row>
    <row r="23" spans="1:15" ht="21.75" customHeight="1">
      <c r="A23" s="177" t="s">
        <v>131</v>
      </c>
      <c r="B23" s="159"/>
      <c r="C23" s="930" t="s">
        <v>137</v>
      </c>
      <c r="D23" s="930"/>
      <c r="E23" s="930"/>
      <c r="F23" s="930"/>
      <c r="G23" s="930"/>
      <c r="H23" s="930"/>
      <c r="I23" s="930"/>
      <c r="J23" s="930"/>
      <c r="K23" s="930"/>
      <c r="L23" s="997"/>
      <c r="M23" s="997"/>
      <c r="N23" s="998"/>
      <c r="O23" s="13"/>
    </row>
    <row r="24" spans="1:15" ht="18" customHeight="1">
      <c r="A24" s="177"/>
      <c r="B24" s="163"/>
      <c r="C24" s="164" t="s">
        <v>49</v>
      </c>
      <c r="D24" s="930" t="s">
        <v>234</v>
      </c>
      <c r="E24" s="930"/>
      <c r="F24" s="930"/>
      <c r="G24" s="930"/>
      <c r="H24" s="930"/>
      <c r="I24" s="930"/>
      <c r="J24" s="930"/>
      <c r="K24" s="159"/>
      <c r="L24" s="931">
        <f>'P3 Form A-1 Health Care'!J52</f>
        <v>66716982.15511305</v>
      </c>
      <c r="M24" s="931"/>
      <c r="N24" s="932"/>
      <c r="O24" s="13"/>
    </row>
    <row r="25" spans="1:15" ht="18" customHeight="1">
      <c r="A25" s="178"/>
      <c r="B25" s="163"/>
      <c r="C25" s="164" t="s">
        <v>50</v>
      </c>
      <c r="D25" s="930" t="s">
        <v>235</v>
      </c>
      <c r="E25" s="930"/>
      <c r="F25" s="930"/>
      <c r="G25" s="930"/>
      <c r="H25" s="930"/>
      <c r="I25" s="930"/>
      <c r="J25" s="930"/>
      <c r="K25" s="160"/>
      <c r="L25" s="931">
        <f>'P4 Form A-2 - Dental'!J49</f>
        <v>9687849.786819058</v>
      </c>
      <c r="M25" s="931"/>
      <c r="N25" s="932"/>
      <c r="O25" s="13"/>
    </row>
    <row r="26" spans="1:15" ht="18" customHeight="1">
      <c r="A26" s="179"/>
      <c r="B26" s="163"/>
      <c r="C26" s="164" t="s">
        <v>82</v>
      </c>
      <c r="D26" s="930" t="s">
        <v>236</v>
      </c>
      <c r="E26" s="930"/>
      <c r="F26" s="930"/>
      <c r="G26" s="930"/>
      <c r="H26" s="930"/>
      <c r="I26" s="930"/>
      <c r="J26" s="930"/>
      <c r="K26" s="384"/>
      <c r="L26" s="931">
        <f>'P5 Form A-3 - Mental Health'!J44</f>
        <v>22924849.57813673</v>
      </c>
      <c r="M26" s="931"/>
      <c r="N26" s="932"/>
      <c r="O26" s="13"/>
    </row>
    <row r="27" spans="1:15" ht="18" customHeight="1">
      <c r="A27" s="180"/>
      <c r="B27" s="163"/>
      <c r="C27" s="164" t="s">
        <v>51</v>
      </c>
      <c r="D27" s="930" t="s">
        <v>237</v>
      </c>
      <c r="E27" s="930"/>
      <c r="F27" s="930"/>
      <c r="G27" s="930"/>
      <c r="H27" s="930"/>
      <c r="I27" s="930"/>
      <c r="J27" s="930"/>
      <c r="K27" s="161"/>
      <c r="L27" s="931">
        <f>SUM(L24:N26)</f>
        <v>99329681.52006884</v>
      </c>
      <c r="M27" s="931"/>
      <c r="N27" s="932"/>
      <c r="O27" s="13"/>
    </row>
    <row r="28" spans="1:30" s="166" customFormat="1" ht="19.5" customHeight="1">
      <c r="A28" s="177" t="s">
        <v>138</v>
      </c>
      <c r="B28" s="385"/>
      <c r="C28" s="930" t="s">
        <v>139</v>
      </c>
      <c r="D28" s="930"/>
      <c r="E28" s="930"/>
      <c r="F28" s="930"/>
      <c r="G28" s="930"/>
      <c r="H28" s="930"/>
      <c r="I28" s="930"/>
      <c r="J28" s="930"/>
      <c r="K28" s="930"/>
      <c r="L28" s="995"/>
      <c r="M28" s="995"/>
      <c r="N28" s="996"/>
      <c r="O28" s="15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68" customFormat="1" ht="17.25" customHeight="1">
      <c r="A29" s="177"/>
      <c r="B29" s="163"/>
      <c r="C29" s="164" t="s">
        <v>49</v>
      </c>
      <c r="D29" s="930" t="s">
        <v>140</v>
      </c>
      <c r="E29" s="930"/>
      <c r="F29" s="930"/>
      <c r="G29" s="930"/>
      <c r="H29" s="930"/>
      <c r="I29" s="930"/>
      <c r="J29" s="930"/>
      <c r="K29" s="385"/>
      <c r="L29" s="988">
        <f>ROUND(L24/L27,4)</f>
        <v>0.6717</v>
      </c>
      <c r="M29" s="988"/>
      <c r="N29" s="989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68" customFormat="1" ht="17.25" customHeight="1">
      <c r="A30" s="178"/>
      <c r="B30" s="163"/>
      <c r="C30" s="164" t="s">
        <v>50</v>
      </c>
      <c r="D30" s="930" t="s">
        <v>141</v>
      </c>
      <c r="E30" s="930"/>
      <c r="F30" s="930"/>
      <c r="G30" s="930"/>
      <c r="H30" s="930"/>
      <c r="I30" s="930"/>
      <c r="J30" s="930"/>
      <c r="K30" s="160"/>
      <c r="L30" s="988">
        <f>ROUND(L25/L27,4)</f>
        <v>0.0975</v>
      </c>
      <c r="M30" s="988"/>
      <c r="N30" s="989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8" customFormat="1" ht="17.25" customHeight="1">
      <c r="A31" s="179"/>
      <c r="B31" s="163"/>
      <c r="C31" s="164" t="s">
        <v>82</v>
      </c>
      <c r="D31" s="930" t="s">
        <v>142</v>
      </c>
      <c r="E31" s="930"/>
      <c r="F31" s="930"/>
      <c r="G31" s="930"/>
      <c r="H31" s="930"/>
      <c r="I31" s="930"/>
      <c r="J31" s="930"/>
      <c r="K31" s="384"/>
      <c r="L31" s="988">
        <f>ROUND(L26/L27,4)</f>
        <v>0.2308</v>
      </c>
      <c r="M31" s="988"/>
      <c r="N31" s="989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8" customFormat="1" ht="28.5" customHeight="1">
      <c r="A32" s="177" t="s">
        <v>143</v>
      </c>
      <c r="B32" s="385"/>
      <c r="C32" s="930" t="s">
        <v>144</v>
      </c>
      <c r="D32" s="930"/>
      <c r="E32" s="930"/>
      <c r="F32" s="930"/>
      <c r="G32" s="930"/>
      <c r="H32" s="930"/>
      <c r="I32" s="930"/>
      <c r="J32" s="930"/>
      <c r="K32" s="930"/>
      <c r="L32" s="995"/>
      <c r="M32" s="995"/>
      <c r="N32" s="996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8" customFormat="1" ht="17.25" customHeight="1">
      <c r="A33" s="177"/>
      <c r="B33" s="163"/>
      <c r="C33" s="164" t="s">
        <v>49</v>
      </c>
      <c r="D33" s="930" t="s">
        <v>145</v>
      </c>
      <c r="E33" s="930"/>
      <c r="F33" s="930"/>
      <c r="G33" s="930"/>
      <c r="H33" s="930"/>
      <c r="I33" s="930"/>
      <c r="J33" s="930"/>
      <c r="K33" s="385"/>
      <c r="L33" s="931">
        <f>ROUND(L22*L29,0)</f>
        <v>22342659</v>
      </c>
      <c r="M33" s="931"/>
      <c r="N33" s="932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8" customFormat="1" ht="18" customHeight="1">
      <c r="A34" s="178"/>
      <c r="B34" s="163"/>
      <c r="C34" s="164" t="s">
        <v>50</v>
      </c>
      <c r="D34" s="930" t="s">
        <v>146</v>
      </c>
      <c r="E34" s="930"/>
      <c r="F34" s="930"/>
      <c r="G34" s="930"/>
      <c r="H34" s="930"/>
      <c r="I34" s="930"/>
      <c r="J34" s="930"/>
      <c r="K34" s="160"/>
      <c r="L34" s="931">
        <f>ROUND(L22*L30,0)</f>
        <v>3243128</v>
      </c>
      <c r="M34" s="931"/>
      <c r="N34" s="932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8" customFormat="1" ht="21" customHeight="1">
      <c r="A35" s="179"/>
      <c r="B35" s="163"/>
      <c r="C35" s="164" t="s">
        <v>82</v>
      </c>
      <c r="D35" s="930" t="s">
        <v>147</v>
      </c>
      <c r="E35" s="930"/>
      <c r="F35" s="930"/>
      <c r="G35" s="930"/>
      <c r="H35" s="930"/>
      <c r="I35" s="930"/>
      <c r="J35" s="930"/>
      <c r="K35" s="384"/>
      <c r="L35" s="931">
        <f>ROUND(L22*L31,0)</f>
        <v>7677067</v>
      </c>
      <c r="M35" s="931"/>
      <c r="N35" s="932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8" customFormat="1" ht="28.5" customHeight="1" thickBot="1">
      <c r="A36" s="403"/>
      <c r="B36" s="404"/>
      <c r="C36" s="164" t="s">
        <v>51</v>
      </c>
      <c r="D36" s="987" t="s">
        <v>238</v>
      </c>
      <c r="E36" s="987"/>
      <c r="F36" s="987"/>
      <c r="G36" s="987"/>
      <c r="H36" s="987"/>
      <c r="I36" s="987"/>
      <c r="J36" s="987"/>
      <c r="K36" s="404"/>
      <c r="L36" s="999">
        <f>SUM(L33:N35)</f>
        <v>33262854</v>
      </c>
      <c r="M36" s="999"/>
      <c r="N36" s="1000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8" customFormat="1" ht="28.5" customHeight="1" thickBot="1" thickTop="1">
      <c r="A37" s="405"/>
      <c r="B37" s="406"/>
      <c r="C37" s="406"/>
      <c r="D37" s="406"/>
      <c r="E37" s="406"/>
      <c r="F37" s="406"/>
      <c r="G37" s="406"/>
      <c r="H37" s="407"/>
      <c r="I37" s="406"/>
      <c r="J37" s="406"/>
      <c r="K37" s="406"/>
      <c r="L37" s="408"/>
      <c r="M37" s="408"/>
      <c r="N37" s="409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8" customFormat="1" ht="28.5" customHeight="1">
      <c r="A38" s="404"/>
      <c r="B38" s="404"/>
      <c r="C38" s="404"/>
      <c r="D38" s="404"/>
      <c r="E38" s="404"/>
      <c r="F38" s="404"/>
      <c r="G38" s="404"/>
      <c r="H38" s="410"/>
      <c r="I38" s="404"/>
      <c r="J38" s="404"/>
      <c r="K38" s="404"/>
      <c r="L38" s="404"/>
      <c r="M38" s="404"/>
      <c r="N38" s="404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8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sheetProtection password="E1AE" sheet="1"/>
  <mergeCells count="58">
    <mergeCell ref="L34:N34"/>
    <mergeCell ref="L35:N35"/>
    <mergeCell ref="L36:N36"/>
    <mergeCell ref="A1:N1"/>
    <mergeCell ref="A2:N2"/>
    <mergeCell ref="A3:N3"/>
    <mergeCell ref="L28:N28"/>
    <mergeCell ref="L29:N29"/>
    <mergeCell ref="L30:N30"/>
    <mergeCell ref="L31:N31"/>
    <mergeCell ref="L33:N33"/>
    <mergeCell ref="L22:N22"/>
    <mergeCell ref="L23:N23"/>
    <mergeCell ref="L24:N24"/>
    <mergeCell ref="L25:N25"/>
    <mergeCell ref="L26:N26"/>
    <mergeCell ref="L27:N27"/>
    <mergeCell ref="S21:U21"/>
    <mergeCell ref="L18:N18"/>
    <mergeCell ref="L19:N19"/>
    <mergeCell ref="L20:N20"/>
    <mergeCell ref="L21:N21"/>
    <mergeCell ref="L32:N32"/>
    <mergeCell ref="A4:N4"/>
    <mergeCell ref="A12:N12"/>
    <mergeCell ref="C14:K14"/>
    <mergeCell ref="C13:K13"/>
    <mergeCell ref="L14:N14"/>
    <mergeCell ref="L16:N16"/>
    <mergeCell ref="C15:K15"/>
    <mergeCell ref="L15:N15"/>
    <mergeCell ref="D8:N8"/>
    <mergeCell ref="A9:N9"/>
    <mergeCell ref="D24:J24"/>
    <mergeCell ref="D25:J25"/>
    <mergeCell ref="C22:K22"/>
    <mergeCell ref="C28:K28"/>
    <mergeCell ref="D29:J29"/>
    <mergeCell ref="D30:J30"/>
    <mergeCell ref="C23:K23"/>
    <mergeCell ref="D36:J36"/>
    <mergeCell ref="D34:J34"/>
    <mergeCell ref="D35:J35"/>
    <mergeCell ref="D33:J33"/>
    <mergeCell ref="D26:J26"/>
    <mergeCell ref="D27:J27"/>
    <mergeCell ref="D31:J31"/>
    <mergeCell ref="C32:K32"/>
    <mergeCell ref="E6:G6"/>
    <mergeCell ref="L6:M6"/>
    <mergeCell ref="L13:N13"/>
    <mergeCell ref="C20:K20"/>
    <mergeCell ref="C21:K21"/>
    <mergeCell ref="C18:K18"/>
    <mergeCell ref="C19:K19"/>
    <mergeCell ref="C16:K16"/>
    <mergeCell ref="C17:K17"/>
    <mergeCell ref="L17:N17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91" r:id="rId1"/>
  <headerFooter alignWithMargins="0">
    <oddFooter>&amp;LDSS-16 10-24-2016&amp;RPage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"/>
  <sheetViews>
    <sheetView zoomScalePageLayoutView="0" workbookViewId="0" topLeftCell="A1">
      <selection activeCell="A28" sqref="A28:IV28"/>
    </sheetView>
  </sheetViews>
  <sheetFormatPr defaultColWidth="9.7109375" defaultRowHeight="12.75"/>
  <cols>
    <col min="1" max="1" width="4.28125" style="12" customWidth="1"/>
    <col min="2" max="2" width="9.7109375" style="12" customWidth="1"/>
    <col min="3" max="3" width="1.7109375" style="12" customWidth="1"/>
    <col min="4" max="4" width="9.7109375" style="12" customWidth="1"/>
    <col min="5" max="5" width="8.00390625" style="12" customWidth="1"/>
    <col min="6" max="6" width="9.7109375" style="12" customWidth="1"/>
    <col min="7" max="7" width="1.7109375" style="12" customWidth="1"/>
    <col min="8" max="8" width="11.28125" style="12" customWidth="1"/>
    <col min="9" max="9" width="0.85546875" style="12" customWidth="1"/>
    <col min="10" max="10" width="10.8515625" style="12" customWidth="1"/>
    <col min="11" max="11" width="9.7109375" style="12" customWidth="1"/>
    <col min="12" max="12" width="1.7109375" style="12" customWidth="1"/>
    <col min="13" max="13" width="10.140625" style="12" bestFit="1" customWidth="1"/>
    <col min="14" max="14" width="12.140625" style="12" customWidth="1"/>
    <col min="15" max="15" width="12.00390625" style="12" customWidth="1"/>
    <col min="16" max="16384" width="9.7109375" style="12" customWidth="1"/>
  </cols>
  <sheetData>
    <row r="1" spans="1:16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75"/>
    </row>
    <row r="2" spans="1:16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75"/>
    </row>
    <row r="3" spans="1:16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75"/>
    </row>
    <row r="4" spans="1:16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75"/>
    </row>
    <row r="5" spans="3:16" ht="13.5" thickBot="1"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76"/>
    </row>
    <row r="6" spans="1:16" ht="27.75" customHeight="1">
      <c r="A6" s="199"/>
      <c r="B6" s="77" t="s">
        <v>54</v>
      </c>
      <c r="C6" s="77"/>
      <c r="D6" s="77"/>
      <c r="E6" s="78" t="s">
        <v>6</v>
      </c>
      <c r="F6" s="884">
        <f>'P1 Info &amp; Certification'!L20</f>
        <v>43647</v>
      </c>
      <c r="G6" s="884"/>
      <c r="H6" s="884"/>
      <c r="I6" s="82"/>
      <c r="J6" s="79"/>
      <c r="K6" s="78" t="s">
        <v>7</v>
      </c>
      <c r="L6" s="77"/>
      <c r="M6" s="884">
        <f>'P1 Info &amp; Certification'!N20</f>
        <v>44012</v>
      </c>
      <c r="N6" s="884"/>
      <c r="O6" s="80"/>
      <c r="P6" s="32"/>
    </row>
    <row r="7" spans="1:16" ht="12.75">
      <c r="A7" s="83"/>
      <c r="B7" s="458"/>
      <c r="C7" s="45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 thickBot="1">
      <c r="A8" s="181"/>
      <c r="B8" s="84" t="s">
        <v>59</v>
      </c>
      <c r="C8" s="200"/>
      <c r="D8" s="200"/>
      <c r="E8" s="885" t="str">
        <f>'P1 Info &amp; Certification'!E12</f>
        <v>COMMUNITY HEALTH CENTER, INC.</v>
      </c>
      <c r="F8" s="885"/>
      <c r="G8" s="885"/>
      <c r="H8" s="885"/>
      <c r="I8" s="885"/>
      <c r="J8" s="885"/>
      <c r="K8" s="885"/>
      <c r="L8" s="885"/>
      <c r="M8" s="885"/>
      <c r="N8" s="885"/>
      <c r="O8" s="886"/>
    </row>
    <row r="9" spans="1:16" ht="15.75" customHeight="1" thickBot="1">
      <c r="A9" s="13"/>
      <c r="B9" s="891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13"/>
    </row>
    <row r="10" spans="1:15" ht="42" customHeight="1" thickBot="1">
      <c r="A10" s="421" t="s">
        <v>56</v>
      </c>
      <c r="B10" s="887" t="s">
        <v>341</v>
      </c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87"/>
      <c r="N10" s="887"/>
      <c r="O10" s="888"/>
    </row>
    <row r="11" spans="1:15" s="15" customFormat="1" ht="30.75" customHeight="1">
      <c r="A11" s="870" t="s">
        <v>32</v>
      </c>
      <c r="B11" s="865"/>
      <c r="C11" s="865"/>
      <c r="D11" s="865"/>
      <c r="E11" s="866"/>
      <c r="F11" s="864" t="s">
        <v>58</v>
      </c>
      <c r="G11" s="865"/>
      <c r="H11" s="865"/>
      <c r="I11" s="865"/>
      <c r="J11" s="866"/>
      <c r="K11" s="867" t="s">
        <v>289</v>
      </c>
      <c r="L11" s="868"/>
      <c r="M11" s="869"/>
      <c r="N11" s="889" t="s">
        <v>57</v>
      </c>
      <c r="O11" s="890"/>
    </row>
    <row r="12" spans="1:15" ht="28.5" customHeight="1">
      <c r="A12" s="880" t="s">
        <v>369</v>
      </c>
      <c r="B12" s="881"/>
      <c r="C12" s="881"/>
      <c r="D12" s="881"/>
      <c r="E12" s="882"/>
      <c r="F12" s="871" t="s">
        <v>370</v>
      </c>
      <c r="G12" s="871"/>
      <c r="H12" s="871"/>
      <c r="I12" s="871"/>
      <c r="J12" s="871"/>
      <c r="K12" s="872" t="s">
        <v>371</v>
      </c>
      <c r="L12" s="873"/>
      <c r="M12" s="874"/>
      <c r="N12" s="878" t="s">
        <v>372</v>
      </c>
      <c r="O12" s="879"/>
    </row>
    <row r="13" spans="1:15" ht="28.5" customHeight="1">
      <c r="A13" s="880" t="s">
        <v>369</v>
      </c>
      <c r="B13" s="881"/>
      <c r="C13" s="881"/>
      <c r="D13" s="881"/>
      <c r="E13" s="882"/>
      <c r="F13" s="871" t="s">
        <v>373</v>
      </c>
      <c r="G13" s="871"/>
      <c r="H13" s="871"/>
      <c r="I13" s="871"/>
      <c r="J13" s="871"/>
      <c r="K13" s="872" t="s">
        <v>371</v>
      </c>
      <c r="L13" s="873"/>
      <c r="M13" s="874"/>
      <c r="N13" s="878" t="s">
        <v>374</v>
      </c>
      <c r="O13" s="879"/>
    </row>
    <row r="14" spans="1:15" ht="28.5" customHeight="1">
      <c r="A14" s="880" t="s">
        <v>369</v>
      </c>
      <c r="B14" s="881"/>
      <c r="C14" s="881"/>
      <c r="D14" s="881"/>
      <c r="E14" s="882"/>
      <c r="F14" s="871" t="s">
        <v>375</v>
      </c>
      <c r="G14" s="871"/>
      <c r="H14" s="871"/>
      <c r="I14" s="871"/>
      <c r="J14" s="871"/>
      <c r="K14" s="872" t="s">
        <v>371</v>
      </c>
      <c r="L14" s="873"/>
      <c r="M14" s="874"/>
      <c r="N14" s="878" t="s">
        <v>376</v>
      </c>
      <c r="O14" s="879"/>
    </row>
    <row r="15" spans="1:15" ht="28.5" customHeight="1">
      <c r="A15" s="880" t="s">
        <v>369</v>
      </c>
      <c r="B15" s="881"/>
      <c r="C15" s="881"/>
      <c r="D15" s="881"/>
      <c r="E15" s="882"/>
      <c r="F15" s="871" t="s">
        <v>377</v>
      </c>
      <c r="G15" s="871"/>
      <c r="H15" s="871"/>
      <c r="I15" s="871"/>
      <c r="J15" s="871"/>
      <c r="K15" s="872" t="s">
        <v>371</v>
      </c>
      <c r="L15" s="873"/>
      <c r="M15" s="874"/>
      <c r="N15" s="878" t="s">
        <v>378</v>
      </c>
      <c r="O15" s="879"/>
    </row>
    <row r="16" spans="1:15" ht="28.5" customHeight="1">
      <c r="A16" s="880" t="s">
        <v>369</v>
      </c>
      <c r="B16" s="881"/>
      <c r="C16" s="881"/>
      <c r="D16" s="881"/>
      <c r="E16" s="882"/>
      <c r="F16" s="871" t="s">
        <v>379</v>
      </c>
      <c r="G16" s="871"/>
      <c r="H16" s="871"/>
      <c r="I16" s="871"/>
      <c r="J16" s="871"/>
      <c r="K16" s="872" t="s">
        <v>371</v>
      </c>
      <c r="L16" s="873"/>
      <c r="M16" s="874"/>
      <c r="N16" s="878" t="s">
        <v>380</v>
      </c>
      <c r="O16" s="879"/>
    </row>
    <row r="17" spans="1:15" ht="28.5" customHeight="1">
      <c r="A17" s="880" t="s">
        <v>369</v>
      </c>
      <c r="B17" s="881"/>
      <c r="C17" s="881"/>
      <c r="D17" s="881"/>
      <c r="E17" s="882"/>
      <c r="F17" s="871" t="s">
        <v>381</v>
      </c>
      <c r="G17" s="871"/>
      <c r="H17" s="871"/>
      <c r="I17" s="871"/>
      <c r="J17" s="871"/>
      <c r="K17" s="872" t="s">
        <v>371</v>
      </c>
      <c r="L17" s="873"/>
      <c r="M17" s="874"/>
      <c r="N17" s="878" t="s">
        <v>382</v>
      </c>
      <c r="O17" s="879"/>
    </row>
    <row r="18" spans="1:15" ht="28.5" customHeight="1">
      <c r="A18" s="880" t="s">
        <v>369</v>
      </c>
      <c r="B18" s="881"/>
      <c r="C18" s="881"/>
      <c r="D18" s="881"/>
      <c r="E18" s="882"/>
      <c r="F18" s="871" t="s">
        <v>383</v>
      </c>
      <c r="G18" s="871"/>
      <c r="H18" s="871"/>
      <c r="I18" s="871"/>
      <c r="J18" s="871"/>
      <c r="K18" s="872" t="s">
        <v>371</v>
      </c>
      <c r="L18" s="873"/>
      <c r="M18" s="874"/>
      <c r="N18" s="878" t="s">
        <v>384</v>
      </c>
      <c r="O18" s="879"/>
    </row>
    <row r="19" spans="1:15" ht="28.5" customHeight="1">
      <c r="A19" s="880" t="s">
        <v>369</v>
      </c>
      <c r="B19" s="881"/>
      <c r="C19" s="881"/>
      <c r="D19" s="881"/>
      <c r="E19" s="882"/>
      <c r="F19" s="871" t="s">
        <v>385</v>
      </c>
      <c r="G19" s="871"/>
      <c r="H19" s="871"/>
      <c r="I19" s="871"/>
      <c r="J19" s="871"/>
      <c r="K19" s="872" t="s">
        <v>371</v>
      </c>
      <c r="L19" s="873"/>
      <c r="M19" s="874"/>
      <c r="N19" s="878" t="s">
        <v>386</v>
      </c>
      <c r="O19" s="879"/>
    </row>
    <row r="20" spans="1:15" ht="28.5" customHeight="1">
      <c r="A20" s="880" t="s">
        <v>369</v>
      </c>
      <c r="B20" s="881"/>
      <c r="C20" s="881"/>
      <c r="D20" s="881"/>
      <c r="E20" s="882"/>
      <c r="F20" s="871" t="s">
        <v>387</v>
      </c>
      <c r="G20" s="871"/>
      <c r="H20" s="871"/>
      <c r="I20" s="871"/>
      <c r="J20" s="871"/>
      <c r="K20" s="872" t="s">
        <v>371</v>
      </c>
      <c r="L20" s="873"/>
      <c r="M20" s="874"/>
      <c r="N20" s="878" t="s">
        <v>388</v>
      </c>
      <c r="O20" s="879"/>
    </row>
    <row r="21" spans="1:15" ht="28.5" customHeight="1">
      <c r="A21" s="880" t="s">
        <v>369</v>
      </c>
      <c r="B21" s="881"/>
      <c r="C21" s="881"/>
      <c r="D21" s="881"/>
      <c r="E21" s="882"/>
      <c r="F21" s="871" t="s">
        <v>389</v>
      </c>
      <c r="G21" s="871"/>
      <c r="H21" s="871"/>
      <c r="I21" s="871"/>
      <c r="J21" s="871"/>
      <c r="K21" s="872" t="s">
        <v>371</v>
      </c>
      <c r="L21" s="873"/>
      <c r="M21" s="874"/>
      <c r="N21" s="878" t="s">
        <v>390</v>
      </c>
      <c r="O21" s="879"/>
    </row>
    <row r="22" spans="1:15" ht="28.5" customHeight="1">
      <c r="A22" s="880" t="s">
        <v>369</v>
      </c>
      <c r="B22" s="881"/>
      <c r="C22" s="881"/>
      <c r="D22" s="881"/>
      <c r="E22" s="882"/>
      <c r="F22" s="871" t="s">
        <v>391</v>
      </c>
      <c r="G22" s="871"/>
      <c r="H22" s="871"/>
      <c r="I22" s="871"/>
      <c r="J22" s="871"/>
      <c r="K22" s="872" t="s">
        <v>371</v>
      </c>
      <c r="L22" s="873"/>
      <c r="M22" s="874"/>
      <c r="N22" s="878" t="s">
        <v>392</v>
      </c>
      <c r="O22" s="879"/>
    </row>
    <row r="23" spans="1:15" ht="28.5" customHeight="1">
      <c r="A23" s="880" t="s">
        <v>369</v>
      </c>
      <c r="B23" s="881"/>
      <c r="C23" s="881"/>
      <c r="D23" s="881"/>
      <c r="E23" s="882"/>
      <c r="F23" s="871" t="s">
        <v>393</v>
      </c>
      <c r="G23" s="871"/>
      <c r="H23" s="871"/>
      <c r="I23" s="871"/>
      <c r="J23" s="871"/>
      <c r="K23" s="872" t="s">
        <v>371</v>
      </c>
      <c r="L23" s="873"/>
      <c r="M23" s="874"/>
      <c r="N23" s="878" t="s">
        <v>394</v>
      </c>
      <c r="O23" s="879"/>
    </row>
    <row r="24" spans="1:15" ht="28.5" customHeight="1">
      <c r="A24" s="883" t="s">
        <v>395</v>
      </c>
      <c r="B24" s="873"/>
      <c r="C24" s="873"/>
      <c r="D24" s="873"/>
      <c r="E24" s="874"/>
      <c r="F24" s="871" t="s">
        <v>396</v>
      </c>
      <c r="G24" s="871"/>
      <c r="H24" s="871"/>
      <c r="I24" s="871"/>
      <c r="J24" s="871"/>
      <c r="K24" s="872" t="s">
        <v>371</v>
      </c>
      <c r="L24" s="873"/>
      <c r="M24" s="874"/>
      <c r="N24" s="878" t="s">
        <v>397</v>
      </c>
      <c r="O24" s="879"/>
    </row>
    <row r="25" spans="1:15" ht="28.5" customHeight="1">
      <c r="A25" s="883" t="s">
        <v>398</v>
      </c>
      <c r="B25" s="873"/>
      <c r="C25" s="873"/>
      <c r="D25" s="873"/>
      <c r="E25" s="874"/>
      <c r="F25" s="871" t="s">
        <v>399</v>
      </c>
      <c r="G25" s="871"/>
      <c r="H25" s="871"/>
      <c r="I25" s="871"/>
      <c r="J25" s="871"/>
      <c r="K25" s="872" t="s">
        <v>371</v>
      </c>
      <c r="L25" s="873"/>
      <c r="M25" s="874"/>
      <c r="N25" s="878" t="s">
        <v>397</v>
      </c>
      <c r="O25" s="879"/>
    </row>
    <row r="26" spans="1:15" ht="28.5" customHeight="1">
      <c r="A26" s="883" t="s">
        <v>400</v>
      </c>
      <c r="B26" s="873"/>
      <c r="C26" s="873"/>
      <c r="D26" s="873"/>
      <c r="E26" s="874"/>
      <c r="F26" s="871" t="s">
        <v>401</v>
      </c>
      <c r="G26" s="871"/>
      <c r="H26" s="871"/>
      <c r="I26" s="871"/>
      <c r="J26" s="871"/>
      <c r="K26" s="872" t="s">
        <v>371</v>
      </c>
      <c r="L26" s="873"/>
      <c r="M26" s="874"/>
      <c r="N26" s="878" t="s">
        <v>397</v>
      </c>
      <c r="O26" s="879"/>
    </row>
    <row r="27" spans="1:15" ht="28.5" customHeight="1">
      <c r="A27" s="883" t="s">
        <v>402</v>
      </c>
      <c r="B27" s="873"/>
      <c r="C27" s="873"/>
      <c r="D27" s="873"/>
      <c r="E27" s="874"/>
      <c r="F27" s="871" t="s">
        <v>403</v>
      </c>
      <c r="G27" s="871"/>
      <c r="H27" s="871"/>
      <c r="I27" s="871"/>
      <c r="J27" s="871"/>
      <c r="K27" s="872" t="s">
        <v>371</v>
      </c>
      <c r="L27" s="873"/>
      <c r="M27" s="874"/>
      <c r="N27" s="878" t="s">
        <v>397</v>
      </c>
      <c r="O27" s="879"/>
    </row>
    <row r="28" spans="1:15" ht="28.5" customHeight="1">
      <c r="A28" s="883" t="s">
        <v>404</v>
      </c>
      <c r="B28" s="873"/>
      <c r="C28" s="873"/>
      <c r="D28" s="873"/>
      <c r="E28" s="874"/>
      <c r="F28" s="871" t="s">
        <v>405</v>
      </c>
      <c r="G28" s="871"/>
      <c r="H28" s="871"/>
      <c r="I28" s="871"/>
      <c r="J28" s="871"/>
      <c r="K28" s="872" t="s">
        <v>371</v>
      </c>
      <c r="L28" s="873"/>
      <c r="M28" s="874"/>
      <c r="N28" s="878" t="s">
        <v>397</v>
      </c>
      <c r="O28" s="879"/>
    </row>
    <row r="29" spans="1:15" ht="28.5" customHeight="1">
      <c r="A29" s="883" t="s">
        <v>406</v>
      </c>
      <c r="B29" s="873"/>
      <c r="C29" s="873"/>
      <c r="D29" s="873"/>
      <c r="E29" s="874"/>
      <c r="F29" s="871" t="s">
        <v>407</v>
      </c>
      <c r="G29" s="871"/>
      <c r="H29" s="871"/>
      <c r="I29" s="871"/>
      <c r="J29" s="871"/>
      <c r="K29" s="872" t="s">
        <v>371</v>
      </c>
      <c r="L29" s="873"/>
      <c r="M29" s="874"/>
      <c r="N29" s="878" t="s">
        <v>408</v>
      </c>
      <c r="O29" s="879"/>
    </row>
    <row r="30" spans="1:15" ht="28.5" customHeight="1">
      <c r="A30" s="883" t="s">
        <v>409</v>
      </c>
      <c r="B30" s="873"/>
      <c r="C30" s="873"/>
      <c r="D30" s="873"/>
      <c r="E30" s="874"/>
      <c r="F30" s="871" t="s">
        <v>410</v>
      </c>
      <c r="G30" s="871"/>
      <c r="H30" s="871"/>
      <c r="I30" s="871"/>
      <c r="J30" s="871"/>
      <c r="K30" s="872" t="s">
        <v>371</v>
      </c>
      <c r="L30" s="873"/>
      <c r="M30" s="874"/>
      <c r="N30" s="878" t="s">
        <v>397</v>
      </c>
      <c r="O30" s="879"/>
    </row>
    <row r="31" spans="1:15" ht="28.5" customHeight="1" thickBot="1">
      <c r="A31" s="875" t="s">
        <v>369</v>
      </c>
      <c r="B31" s="876"/>
      <c r="C31" s="876"/>
      <c r="D31" s="876"/>
      <c r="E31" s="876"/>
      <c r="F31" s="896" t="s">
        <v>411</v>
      </c>
      <c r="G31" s="896"/>
      <c r="H31" s="896"/>
      <c r="I31" s="896"/>
      <c r="J31" s="896"/>
      <c r="K31" s="896" t="s">
        <v>371</v>
      </c>
      <c r="L31" s="896"/>
      <c r="M31" s="896"/>
      <c r="N31" s="896">
        <v>1093163883</v>
      </c>
      <c r="O31" s="897"/>
    </row>
    <row r="32" spans="1:15" ht="30" customHeight="1" thickBot="1">
      <c r="A32" s="509" t="s">
        <v>161</v>
      </c>
      <c r="B32" s="894" t="s">
        <v>296</v>
      </c>
      <c r="C32" s="894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5"/>
    </row>
    <row r="33" spans="1:15" ht="14.25" customHeight="1">
      <c r="A33" s="510" t="s">
        <v>295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2"/>
    </row>
    <row r="34" spans="1:15" ht="36" customHeight="1" thickBot="1">
      <c r="A34" s="862" t="s">
        <v>300</v>
      </c>
      <c r="B34" s="863"/>
      <c r="C34" s="863"/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92" t="s">
        <v>412</v>
      </c>
      <c r="O34" s="89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60" ht="12.75">
      <c r="A60" s="422" t="s">
        <v>300</v>
      </c>
    </row>
    <row r="61" ht="12.75">
      <c r="A61" s="422" t="s">
        <v>298</v>
      </c>
    </row>
    <row r="62" ht="12.75">
      <c r="A62" s="422" t="s">
        <v>299</v>
      </c>
    </row>
    <row r="63" ht="12.75">
      <c r="A63" s="422" t="s">
        <v>297</v>
      </c>
    </row>
  </sheetData>
  <sheetProtection password="E1AE" sheet="1"/>
  <mergeCells count="96">
    <mergeCell ref="F23:J23"/>
    <mergeCell ref="N22:O22"/>
    <mergeCell ref="F24:J24"/>
    <mergeCell ref="N28:O28"/>
    <mergeCell ref="F30:J30"/>
    <mergeCell ref="K30:M30"/>
    <mergeCell ref="F27:J27"/>
    <mergeCell ref="K24:M24"/>
    <mergeCell ref="N24:O24"/>
    <mergeCell ref="F25:J25"/>
    <mergeCell ref="N34:O34"/>
    <mergeCell ref="B32:O32"/>
    <mergeCell ref="F31:J31"/>
    <mergeCell ref="F28:J28"/>
    <mergeCell ref="K28:M28"/>
    <mergeCell ref="F26:J26"/>
    <mergeCell ref="K26:M26"/>
    <mergeCell ref="N26:O26"/>
    <mergeCell ref="K31:M31"/>
    <mergeCell ref="N31:O31"/>
    <mergeCell ref="K25:M25"/>
    <mergeCell ref="K27:M27"/>
    <mergeCell ref="N27:O27"/>
    <mergeCell ref="N30:O30"/>
    <mergeCell ref="N29:O29"/>
    <mergeCell ref="N25:O25"/>
    <mergeCell ref="F6:H6"/>
    <mergeCell ref="N11:O11"/>
    <mergeCell ref="B9:O9"/>
    <mergeCell ref="N18:O18"/>
    <mergeCell ref="N15:O15"/>
    <mergeCell ref="N16:O16"/>
    <mergeCell ref="F15:J15"/>
    <mergeCell ref="K15:M15"/>
    <mergeCell ref="N17:O17"/>
    <mergeCell ref="A13:E13"/>
    <mergeCell ref="A3:O3"/>
    <mergeCell ref="M6:N6"/>
    <mergeCell ref="E8:O8"/>
    <mergeCell ref="K22:M22"/>
    <mergeCell ref="F22:J22"/>
    <mergeCell ref="F13:J13"/>
    <mergeCell ref="F14:J14"/>
    <mergeCell ref="N13:O13"/>
    <mergeCell ref="N14:O14"/>
    <mergeCell ref="B10:O10"/>
    <mergeCell ref="A14:E14"/>
    <mergeCell ref="A15:E15"/>
    <mergeCell ref="A12:E12"/>
    <mergeCell ref="A16:E16"/>
    <mergeCell ref="K16:M16"/>
    <mergeCell ref="K12:M12"/>
    <mergeCell ref="F12:J12"/>
    <mergeCell ref="K14:M14"/>
    <mergeCell ref="F16:J16"/>
    <mergeCell ref="K13:M13"/>
    <mergeCell ref="N23:O23"/>
    <mergeCell ref="A17:E17"/>
    <mergeCell ref="A18:E18"/>
    <mergeCell ref="F18:J18"/>
    <mergeCell ref="K18:M18"/>
    <mergeCell ref="F17:J17"/>
    <mergeCell ref="K17:M17"/>
    <mergeCell ref="F20:J20"/>
    <mergeCell ref="N21:O21"/>
    <mergeCell ref="F19:J19"/>
    <mergeCell ref="A30:E30"/>
    <mergeCell ref="A26:E26"/>
    <mergeCell ref="A28:E28"/>
    <mergeCell ref="A27:E27"/>
    <mergeCell ref="A21:E21"/>
    <mergeCell ref="A22:E22"/>
    <mergeCell ref="A25:E25"/>
    <mergeCell ref="A23:E23"/>
    <mergeCell ref="A24:E24"/>
    <mergeCell ref="A29:E29"/>
    <mergeCell ref="A1:O1"/>
    <mergeCell ref="A2:O2"/>
    <mergeCell ref="A4:O4"/>
    <mergeCell ref="N12:O12"/>
    <mergeCell ref="K19:M19"/>
    <mergeCell ref="A20:E20"/>
    <mergeCell ref="A19:E19"/>
    <mergeCell ref="N20:O20"/>
    <mergeCell ref="K20:M20"/>
    <mergeCell ref="N19:O19"/>
    <mergeCell ref="A34:M34"/>
    <mergeCell ref="F11:J11"/>
    <mergeCell ref="K11:M11"/>
    <mergeCell ref="A11:E11"/>
    <mergeCell ref="F29:J29"/>
    <mergeCell ref="K29:M29"/>
    <mergeCell ref="F21:J21"/>
    <mergeCell ref="K21:M21"/>
    <mergeCell ref="K23:M23"/>
    <mergeCell ref="A31:E31"/>
  </mergeCells>
  <dataValidations count="1">
    <dataValidation type="list" allowBlank="1" showInputMessage="1" showErrorMessage="1" prompt="Select One:" sqref="A34:M34">
      <formula1>$A$60:$A$63</formula1>
    </dataValidation>
  </dataValidations>
  <printOptions horizontalCentered="1"/>
  <pageMargins left="0.5" right="0.5" top="0.25" bottom="0" header="0.5" footer="0.25"/>
  <pageSetup horizontalDpi="600" verticalDpi="600" orientation="portrait" scale="80" r:id="rId1"/>
  <headerFooter alignWithMargins="0">
    <oddFooter>&amp;LDSS-16 10-24-2016&amp;RPage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9">
      <selection activeCell="P14" sqref="P14"/>
    </sheetView>
  </sheetViews>
  <sheetFormatPr defaultColWidth="9.7109375" defaultRowHeight="12.75"/>
  <cols>
    <col min="1" max="1" width="6.7109375" style="12" customWidth="1"/>
    <col min="2" max="2" width="5.57421875" style="12" customWidth="1"/>
    <col min="3" max="3" width="9.7109375" style="12" customWidth="1"/>
    <col min="4" max="4" width="15.421875" style="12" customWidth="1"/>
    <col min="5" max="5" width="20.2812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4.421875" style="12" customWidth="1"/>
    <col min="10" max="10" width="8.140625" style="12" customWidth="1"/>
    <col min="11" max="11" width="1.7109375" style="12" customWidth="1"/>
    <col min="12" max="12" width="10.140625" style="12" bestFit="1" customWidth="1"/>
    <col min="13" max="13" width="3.140625" style="12" customWidth="1"/>
    <col min="14" max="14" width="6.57421875" style="12" customWidth="1"/>
    <col min="15" max="16384" width="9.7109375" style="12" customWidth="1"/>
  </cols>
  <sheetData>
    <row r="1" spans="1:15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75"/>
    </row>
    <row r="2" spans="1:15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75"/>
    </row>
    <row r="3" spans="1:15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75"/>
    </row>
    <row r="4" spans="1:15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75"/>
    </row>
    <row r="5" spans="3:15" ht="13.5" thickBot="1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7.75" customHeight="1">
      <c r="A6" s="93" t="s">
        <v>54</v>
      </c>
      <c r="B6" s="79"/>
      <c r="C6" s="78"/>
      <c r="D6" s="78" t="s">
        <v>6</v>
      </c>
      <c r="E6" s="86">
        <f>'P1 Info &amp; Certification'!L20</f>
        <v>43647</v>
      </c>
      <c r="F6" s="96"/>
      <c r="G6" s="79"/>
      <c r="H6" s="79"/>
      <c r="I6" s="78" t="s">
        <v>7</v>
      </c>
      <c r="J6" s="884">
        <f>'P1 Info &amp; Certification'!N20</f>
        <v>44012</v>
      </c>
      <c r="K6" s="884"/>
      <c r="L6" s="884"/>
      <c r="M6" s="96"/>
      <c r="N6" s="80"/>
      <c r="O6" s="32"/>
    </row>
    <row r="7" spans="1:15" ht="12.75">
      <c r="A7" s="8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 thickBot="1">
      <c r="A8" s="97" t="s">
        <v>59</v>
      </c>
      <c r="B8" s="182"/>
      <c r="C8" s="98"/>
      <c r="D8" s="933" t="str">
        <f>'P1 Info &amp; Certification'!E12</f>
        <v>COMMUNITY HEALTH CENTER, INC.</v>
      </c>
      <c r="E8" s="933"/>
      <c r="F8" s="933"/>
      <c r="G8" s="933"/>
      <c r="H8" s="933"/>
      <c r="I8" s="933"/>
      <c r="J8" s="933"/>
      <c r="K8" s="933"/>
      <c r="L8" s="933"/>
      <c r="M8" s="98"/>
      <c r="N8" s="99"/>
    </row>
    <row r="9" spans="1:15" ht="15.75" customHeight="1">
      <c r="A9" s="13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13"/>
    </row>
    <row r="10" spans="2:15" ht="15">
      <c r="B10" s="4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36" t="s">
        <v>261</v>
      </c>
      <c r="O10" s="13"/>
    </row>
    <row r="11" spans="2:15" ht="14.25" thickBot="1">
      <c r="B11" s="15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926" t="s">
        <v>262</v>
      </c>
      <c r="B12" s="927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8"/>
      <c r="O12" s="158"/>
    </row>
    <row r="13" spans="1:15" s="15" customFormat="1" ht="30.75" customHeight="1">
      <c r="A13" s="193" t="s">
        <v>126</v>
      </c>
      <c r="B13" s="929" t="s">
        <v>148</v>
      </c>
      <c r="C13" s="929"/>
      <c r="D13" s="929"/>
      <c r="E13" s="929"/>
      <c r="F13" s="929"/>
      <c r="G13" s="929"/>
      <c r="H13" s="929"/>
      <c r="I13" s="929"/>
      <c r="J13" s="929"/>
      <c r="K13" s="929"/>
      <c r="L13" s="89"/>
      <c r="M13" s="89"/>
      <c r="N13" s="194"/>
      <c r="O13" s="158"/>
    </row>
    <row r="14" spans="1:15" ht="21.75" customHeight="1">
      <c r="A14" s="83"/>
      <c r="B14" s="159" t="s">
        <v>83</v>
      </c>
      <c r="C14" s="930" t="s">
        <v>239</v>
      </c>
      <c r="D14" s="930"/>
      <c r="E14" s="930"/>
      <c r="F14" s="930"/>
      <c r="G14" s="930"/>
      <c r="H14" s="930"/>
      <c r="I14" s="930"/>
      <c r="J14" s="930"/>
      <c r="K14" s="930"/>
      <c r="L14" s="940">
        <f>'P3 Form A-1 Health Care'!J52</f>
        <v>66716982.15511305</v>
      </c>
      <c r="M14" s="940"/>
      <c r="N14" s="941"/>
      <c r="O14" s="13"/>
    </row>
    <row r="15" spans="1:15" ht="21.75" customHeight="1">
      <c r="A15" s="83"/>
      <c r="B15" s="159" t="s">
        <v>84</v>
      </c>
      <c r="C15" s="930" t="s">
        <v>292</v>
      </c>
      <c r="D15" s="930"/>
      <c r="E15" s="930"/>
      <c r="F15" s="930"/>
      <c r="G15" s="930"/>
      <c r="H15" s="930"/>
      <c r="I15" s="930"/>
      <c r="J15" s="930"/>
      <c r="K15" s="930"/>
      <c r="L15" s="931">
        <f>'P13 Form C - Adj &amp; Alloc'!L33:N33</f>
        <v>22342659</v>
      </c>
      <c r="M15" s="931"/>
      <c r="N15" s="932"/>
      <c r="O15" s="13"/>
    </row>
    <row r="16" spans="1:15" ht="21.75" customHeight="1">
      <c r="A16" s="83"/>
      <c r="B16" s="159" t="s">
        <v>91</v>
      </c>
      <c r="C16" s="930" t="s">
        <v>149</v>
      </c>
      <c r="D16" s="930"/>
      <c r="E16" s="930"/>
      <c r="F16" s="930"/>
      <c r="G16" s="930"/>
      <c r="H16" s="930"/>
      <c r="I16" s="930"/>
      <c r="J16" s="930"/>
      <c r="K16" s="930"/>
      <c r="L16" s="931">
        <f>SUM(L14:N15)</f>
        <v>89059641.15511304</v>
      </c>
      <c r="M16" s="931"/>
      <c r="N16" s="932"/>
      <c r="O16" s="13"/>
    </row>
    <row r="17" spans="1:15" ht="21.75" customHeight="1">
      <c r="A17" s="83"/>
      <c r="B17" s="159" t="s">
        <v>92</v>
      </c>
      <c r="C17" s="930" t="s">
        <v>351</v>
      </c>
      <c r="D17" s="930"/>
      <c r="E17" s="930"/>
      <c r="F17" s="930"/>
      <c r="G17" s="930"/>
      <c r="H17" s="930"/>
      <c r="I17" s="930"/>
      <c r="J17" s="930"/>
      <c r="K17" s="930"/>
      <c r="L17" s="931">
        <f>'P12 Form B-4 Summary Personnel'!K26</f>
        <v>353813</v>
      </c>
      <c r="M17" s="931"/>
      <c r="N17" s="932"/>
      <c r="O17" s="13"/>
    </row>
    <row r="18" spans="1:15" ht="21.75" customHeight="1" thickBot="1">
      <c r="A18" s="83"/>
      <c r="B18" s="159" t="s">
        <v>75</v>
      </c>
      <c r="C18" s="930" t="s">
        <v>263</v>
      </c>
      <c r="D18" s="930"/>
      <c r="E18" s="930"/>
      <c r="F18" s="930"/>
      <c r="G18" s="930"/>
      <c r="H18" s="930"/>
      <c r="I18" s="930"/>
      <c r="J18" s="930"/>
      <c r="K18" s="930"/>
      <c r="L18" s="934">
        <f>ROUND(L16/L17,2)</f>
        <v>251.71</v>
      </c>
      <c r="M18" s="934"/>
      <c r="N18" s="935"/>
      <c r="O18" s="13"/>
    </row>
    <row r="19" spans="1:15" ht="21.75" customHeight="1" thickTop="1">
      <c r="A19" s="83"/>
      <c r="B19" s="159"/>
      <c r="C19" s="162"/>
      <c r="D19" s="162"/>
      <c r="E19" s="162"/>
      <c r="F19" s="162"/>
      <c r="G19" s="162"/>
      <c r="H19" s="162"/>
      <c r="I19" s="162"/>
      <c r="J19" s="162"/>
      <c r="K19" s="162"/>
      <c r="L19" s="267"/>
      <c r="M19" s="267"/>
      <c r="N19" s="268"/>
      <c r="O19" s="13"/>
    </row>
    <row r="20" spans="1:15" ht="21.75" customHeight="1">
      <c r="A20" s="193" t="s">
        <v>128</v>
      </c>
      <c r="B20" s="930" t="s">
        <v>24</v>
      </c>
      <c r="C20" s="930"/>
      <c r="D20" s="930"/>
      <c r="E20" s="930"/>
      <c r="F20" s="930"/>
      <c r="G20" s="930"/>
      <c r="H20" s="930"/>
      <c r="I20" s="930"/>
      <c r="J20" s="930"/>
      <c r="K20" s="162"/>
      <c r="L20" s="936"/>
      <c r="M20" s="936"/>
      <c r="N20" s="937"/>
      <c r="O20" s="13"/>
    </row>
    <row r="21" spans="1:15" ht="21.75" customHeight="1">
      <c r="A21" s="83"/>
      <c r="B21" s="159" t="s">
        <v>83</v>
      </c>
      <c r="C21" s="930" t="s">
        <v>240</v>
      </c>
      <c r="D21" s="930"/>
      <c r="E21" s="930"/>
      <c r="F21" s="930"/>
      <c r="G21" s="930"/>
      <c r="H21" s="930"/>
      <c r="I21" s="930"/>
      <c r="J21" s="930"/>
      <c r="K21" s="930"/>
      <c r="L21" s="931">
        <f>'P4 Form A-2 - Dental'!J49</f>
        <v>9687849.786819058</v>
      </c>
      <c r="M21" s="931"/>
      <c r="N21" s="932"/>
      <c r="O21" s="13"/>
    </row>
    <row r="22" spans="1:15" ht="21.75" customHeight="1">
      <c r="A22" s="83"/>
      <c r="B22" s="159" t="s">
        <v>84</v>
      </c>
      <c r="C22" s="930" t="s">
        <v>293</v>
      </c>
      <c r="D22" s="930"/>
      <c r="E22" s="930"/>
      <c r="F22" s="930"/>
      <c r="G22" s="930"/>
      <c r="H22" s="930"/>
      <c r="I22" s="930"/>
      <c r="J22" s="930"/>
      <c r="K22" s="930"/>
      <c r="L22" s="931">
        <f>'P13 Form C - Adj &amp; Alloc'!L34:N34</f>
        <v>3243128</v>
      </c>
      <c r="M22" s="931"/>
      <c r="N22" s="932"/>
      <c r="O22" s="13"/>
    </row>
    <row r="23" spans="1:21" ht="21.75" customHeight="1">
      <c r="A23" s="83"/>
      <c r="B23" s="159" t="s">
        <v>91</v>
      </c>
      <c r="C23" s="930" t="s">
        <v>150</v>
      </c>
      <c r="D23" s="930"/>
      <c r="E23" s="930"/>
      <c r="F23" s="930"/>
      <c r="G23" s="930"/>
      <c r="H23" s="930"/>
      <c r="I23" s="930"/>
      <c r="J23" s="930"/>
      <c r="K23" s="930"/>
      <c r="L23" s="931">
        <f>SUM(L21:N22)</f>
        <v>12930977.786819058</v>
      </c>
      <c r="M23" s="931"/>
      <c r="N23" s="932"/>
      <c r="O23" s="13"/>
      <c r="S23" s="938"/>
      <c r="T23" s="938"/>
      <c r="U23" s="938"/>
    </row>
    <row r="24" spans="1:15" ht="21.75" customHeight="1">
      <c r="A24" s="83"/>
      <c r="B24" s="159" t="s">
        <v>92</v>
      </c>
      <c r="C24" s="930" t="s">
        <v>352</v>
      </c>
      <c r="D24" s="930"/>
      <c r="E24" s="930"/>
      <c r="F24" s="930"/>
      <c r="G24" s="930"/>
      <c r="H24" s="930"/>
      <c r="I24" s="930"/>
      <c r="J24" s="930"/>
      <c r="K24" s="930"/>
      <c r="L24" s="931">
        <f>'P12 Form B-4 Summary Personnel'!K32</f>
        <v>58657</v>
      </c>
      <c r="M24" s="931"/>
      <c r="N24" s="932"/>
      <c r="O24" s="13"/>
    </row>
    <row r="25" spans="1:15" ht="21.75" customHeight="1" thickBot="1">
      <c r="A25" s="83"/>
      <c r="B25" s="159" t="s">
        <v>75</v>
      </c>
      <c r="C25" s="930" t="s">
        <v>264</v>
      </c>
      <c r="D25" s="930"/>
      <c r="E25" s="930"/>
      <c r="F25" s="930"/>
      <c r="G25" s="930"/>
      <c r="H25" s="930"/>
      <c r="I25" s="930"/>
      <c r="J25" s="930"/>
      <c r="K25" s="930"/>
      <c r="L25" s="934">
        <f>ROUND(L23/L24,2)</f>
        <v>220.45</v>
      </c>
      <c r="M25" s="934"/>
      <c r="N25" s="935"/>
      <c r="O25" s="13"/>
    </row>
    <row r="26" spans="1:15" ht="21.75" customHeight="1" thickTop="1">
      <c r="A26" s="83"/>
      <c r="B26" s="159"/>
      <c r="C26" s="162"/>
      <c r="D26" s="162"/>
      <c r="E26" s="162"/>
      <c r="F26" s="162"/>
      <c r="G26" s="162"/>
      <c r="H26" s="162"/>
      <c r="I26" s="162"/>
      <c r="J26" s="162"/>
      <c r="K26" s="162"/>
      <c r="L26" s="267"/>
      <c r="M26" s="267"/>
      <c r="N26" s="268"/>
      <c r="O26" s="13"/>
    </row>
    <row r="27" spans="1:15" ht="18" customHeight="1">
      <c r="A27" s="193" t="s">
        <v>129</v>
      </c>
      <c r="B27" s="930" t="s">
        <v>43</v>
      </c>
      <c r="C27" s="930"/>
      <c r="D27" s="930"/>
      <c r="E27" s="930"/>
      <c r="F27" s="930"/>
      <c r="G27" s="930"/>
      <c r="H27" s="930"/>
      <c r="I27" s="930"/>
      <c r="J27" s="930"/>
      <c r="K27" s="930"/>
      <c r="L27" s="936"/>
      <c r="M27" s="936"/>
      <c r="N27" s="937"/>
      <c r="O27" s="13"/>
    </row>
    <row r="28" spans="1:15" ht="21" customHeight="1">
      <c r="A28" s="83"/>
      <c r="B28" s="159" t="s">
        <v>83</v>
      </c>
      <c r="C28" s="930" t="s">
        <v>241</v>
      </c>
      <c r="D28" s="930"/>
      <c r="E28" s="930"/>
      <c r="F28" s="930"/>
      <c r="G28" s="930"/>
      <c r="H28" s="930"/>
      <c r="I28" s="930"/>
      <c r="J28" s="930"/>
      <c r="K28" s="930"/>
      <c r="L28" s="931">
        <f>'P5 Form A-3 - Mental Health'!J44</f>
        <v>22924849.57813673</v>
      </c>
      <c r="M28" s="931"/>
      <c r="N28" s="932"/>
      <c r="O28" s="13"/>
    </row>
    <row r="29" spans="1:15" ht="18" customHeight="1">
      <c r="A29" s="83"/>
      <c r="B29" s="159" t="s">
        <v>84</v>
      </c>
      <c r="C29" s="930" t="s">
        <v>294</v>
      </c>
      <c r="D29" s="930"/>
      <c r="E29" s="930"/>
      <c r="F29" s="930"/>
      <c r="G29" s="930"/>
      <c r="H29" s="930"/>
      <c r="I29" s="930"/>
      <c r="J29" s="930"/>
      <c r="K29" s="930"/>
      <c r="L29" s="931">
        <f>'P13 Form C - Adj &amp; Alloc'!L35:N35</f>
        <v>7677067</v>
      </c>
      <c r="M29" s="931"/>
      <c r="N29" s="932"/>
      <c r="O29" s="13"/>
    </row>
    <row r="30" spans="1:15" ht="18" customHeight="1">
      <c r="A30" s="83"/>
      <c r="B30" s="159" t="s">
        <v>91</v>
      </c>
      <c r="C30" s="930" t="s">
        <v>151</v>
      </c>
      <c r="D30" s="930"/>
      <c r="E30" s="930"/>
      <c r="F30" s="930"/>
      <c r="G30" s="930"/>
      <c r="H30" s="930"/>
      <c r="I30" s="930"/>
      <c r="J30" s="930"/>
      <c r="K30" s="930"/>
      <c r="L30" s="931">
        <f>SUM(L28:N29)</f>
        <v>30601916.57813673</v>
      </c>
      <c r="M30" s="931"/>
      <c r="N30" s="932"/>
      <c r="O30" s="13"/>
    </row>
    <row r="31" spans="1:15" s="166" customFormat="1" ht="19.5" customHeight="1">
      <c r="A31" s="83"/>
      <c r="B31" s="159" t="s">
        <v>92</v>
      </c>
      <c r="C31" s="930" t="s">
        <v>353</v>
      </c>
      <c r="D31" s="930"/>
      <c r="E31" s="930"/>
      <c r="F31" s="930"/>
      <c r="G31" s="930"/>
      <c r="H31" s="930"/>
      <c r="I31" s="930"/>
      <c r="J31" s="930"/>
      <c r="K31" s="930"/>
      <c r="L31" s="931">
        <f>'P12 Form B-4 Summary Personnel'!K40</f>
        <v>191561</v>
      </c>
      <c r="M31" s="931"/>
      <c r="N31" s="932"/>
      <c r="O31" s="165"/>
    </row>
    <row r="32" spans="1:15" s="168" customFormat="1" ht="17.25" customHeight="1" thickBot="1">
      <c r="A32" s="83"/>
      <c r="B32" s="159" t="s">
        <v>75</v>
      </c>
      <c r="C32" s="930" t="s">
        <v>265</v>
      </c>
      <c r="D32" s="930"/>
      <c r="E32" s="930"/>
      <c r="F32" s="930"/>
      <c r="G32" s="930"/>
      <c r="H32" s="930"/>
      <c r="I32" s="930"/>
      <c r="J32" s="930"/>
      <c r="K32" s="930"/>
      <c r="L32" s="934">
        <f>ROUND(L30/L31,2)</f>
        <v>159.75</v>
      </c>
      <c r="M32" s="934"/>
      <c r="N32" s="935"/>
      <c r="O32" s="167"/>
    </row>
    <row r="33" spans="1:15" s="168" customFormat="1" ht="17.25" customHeight="1" thickBot="1" thickTop="1">
      <c r="A33" s="181"/>
      <c r="B33" s="185"/>
      <c r="C33" s="195"/>
      <c r="D33" s="196"/>
      <c r="E33" s="196"/>
      <c r="F33" s="196"/>
      <c r="G33" s="196"/>
      <c r="H33" s="196"/>
      <c r="I33" s="196"/>
      <c r="J33" s="196"/>
      <c r="K33" s="185"/>
      <c r="L33" s="269"/>
      <c r="M33" s="269"/>
      <c r="N33" s="270"/>
      <c r="O33" s="167"/>
    </row>
    <row r="34" spans="12:14" ht="12.75">
      <c r="L34" s="271"/>
      <c r="M34" s="271"/>
      <c r="N34" s="271"/>
    </row>
    <row r="35" spans="12:14" ht="12.75">
      <c r="L35" s="271"/>
      <c r="M35" s="271"/>
      <c r="N35" s="271"/>
    </row>
    <row r="36" spans="12:14" ht="12.75">
      <c r="L36" s="271"/>
      <c r="M36" s="271"/>
      <c r="N36" s="271"/>
    </row>
    <row r="37" spans="12:14" ht="12.75">
      <c r="L37" s="271"/>
      <c r="M37" s="271"/>
      <c r="N37" s="271"/>
    </row>
    <row r="38" spans="12:14" ht="12.75">
      <c r="L38" s="271"/>
      <c r="M38" s="271"/>
      <c r="N38" s="271"/>
    </row>
    <row r="39" spans="12:14" ht="12.75">
      <c r="L39" s="271"/>
      <c r="M39" s="271"/>
      <c r="N39" s="271"/>
    </row>
    <row r="40" spans="12:14" ht="12.75">
      <c r="L40" s="271"/>
      <c r="M40" s="271"/>
      <c r="N40" s="271"/>
    </row>
    <row r="41" spans="12:14" ht="12.75">
      <c r="L41" s="271"/>
      <c r="M41" s="271"/>
      <c r="N41" s="271"/>
    </row>
    <row r="42" spans="12:14" ht="12.75">
      <c r="L42" s="271"/>
      <c r="M42" s="271"/>
      <c r="N42" s="271"/>
    </row>
    <row r="43" spans="12:14" ht="12.75">
      <c r="L43" s="271"/>
      <c r="M43" s="271"/>
      <c r="N43" s="271"/>
    </row>
    <row r="44" spans="12:14" ht="12.75">
      <c r="L44" s="271"/>
      <c r="M44" s="271"/>
      <c r="N44" s="271"/>
    </row>
    <row r="45" spans="12:14" ht="12.75">
      <c r="L45" s="271"/>
      <c r="M45" s="271"/>
      <c r="N45" s="271"/>
    </row>
  </sheetData>
  <sheetProtection password="E1AE" sheet="1"/>
  <mergeCells count="44">
    <mergeCell ref="B9:N9"/>
    <mergeCell ref="C14:K14"/>
    <mergeCell ref="L14:N14"/>
    <mergeCell ref="C15:K15"/>
    <mergeCell ref="L15:N15"/>
    <mergeCell ref="B20:J20"/>
    <mergeCell ref="C16:K16"/>
    <mergeCell ref="L16:N16"/>
    <mergeCell ref="C17:K17"/>
    <mergeCell ref="L17:N17"/>
    <mergeCell ref="C18:K18"/>
    <mergeCell ref="L18:N18"/>
    <mergeCell ref="S23:U23"/>
    <mergeCell ref="C24:K24"/>
    <mergeCell ref="L24:N24"/>
    <mergeCell ref="C25:K25"/>
    <mergeCell ref="L25:N25"/>
    <mergeCell ref="L20:N20"/>
    <mergeCell ref="C21:K21"/>
    <mergeCell ref="L21:N21"/>
    <mergeCell ref="C22:K22"/>
    <mergeCell ref="L22:N22"/>
    <mergeCell ref="L32:N32"/>
    <mergeCell ref="L27:N27"/>
    <mergeCell ref="L28:N28"/>
    <mergeCell ref="L29:N29"/>
    <mergeCell ref="C23:K23"/>
    <mergeCell ref="L23:N23"/>
    <mergeCell ref="A1:N1"/>
    <mergeCell ref="A2:N2"/>
    <mergeCell ref="A3:N3"/>
    <mergeCell ref="A4:N4"/>
    <mergeCell ref="J6:L6"/>
    <mergeCell ref="D8:L8"/>
    <mergeCell ref="A12:N12"/>
    <mergeCell ref="B13:K13"/>
    <mergeCell ref="C32:K32"/>
    <mergeCell ref="C30:K30"/>
    <mergeCell ref="C29:K29"/>
    <mergeCell ref="C28:K28"/>
    <mergeCell ref="B27:K27"/>
    <mergeCell ref="L30:N30"/>
    <mergeCell ref="C31:K31"/>
    <mergeCell ref="L31:N31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89" r:id="rId1"/>
  <headerFooter alignWithMargins="0">
    <oddFooter>&amp;LDSS-16 10-24-2016&amp;RPage 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6"/>
  <sheetViews>
    <sheetView zoomScalePageLayoutView="0" workbookViewId="0" topLeftCell="C32">
      <selection activeCell="D25" sqref="D25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7.0039062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28125" style="14" customWidth="1"/>
    <col min="9" max="10" width="9.140625" style="14" customWidth="1"/>
    <col min="11" max="11" width="30.7109375" style="14" customWidth="1"/>
    <col min="12" max="16384" width="9.140625" style="14" customWidth="1"/>
  </cols>
  <sheetData>
    <row r="1" spans="1:17" ht="13.5">
      <c r="A1" s="877" t="s">
        <v>45</v>
      </c>
      <c r="B1" s="877"/>
      <c r="C1" s="877"/>
      <c r="D1" s="877"/>
      <c r="E1" s="877"/>
      <c r="F1" s="877"/>
      <c r="G1" s="877"/>
      <c r="H1" s="877"/>
      <c r="I1" s="75"/>
      <c r="J1" s="75"/>
      <c r="K1" s="75"/>
      <c r="L1" s="75"/>
      <c r="M1" s="75"/>
      <c r="N1" s="75"/>
      <c r="O1" s="75"/>
      <c r="P1" s="75"/>
      <c r="Q1" s="75"/>
    </row>
    <row r="2" spans="1:17" ht="13.5">
      <c r="A2" s="877" t="s">
        <v>46</v>
      </c>
      <c r="B2" s="877"/>
      <c r="C2" s="877"/>
      <c r="D2" s="877"/>
      <c r="E2" s="877"/>
      <c r="F2" s="877"/>
      <c r="G2" s="877"/>
      <c r="H2" s="877"/>
      <c r="I2" s="75"/>
      <c r="J2" s="75"/>
      <c r="K2" s="75"/>
      <c r="L2" s="75"/>
      <c r="M2" s="75"/>
      <c r="N2" s="75"/>
      <c r="O2" s="75"/>
      <c r="P2" s="75"/>
      <c r="Q2" s="75"/>
    </row>
    <row r="3" spans="1:17" ht="13.5">
      <c r="A3" s="877" t="s">
        <v>47</v>
      </c>
      <c r="B3" s="877"/>
      <c r="C3" s="877"/>
      <c r="D3" s="877"/>
      <c r="E3" s="877"/>
      <c r="F3" s="877"/>
      <c r="G3" s="877"/>
      <c r="H3" s="877"/>
      <c r="I3" s="75"/>
      <c r="J3" s="75"/>
      <c r="K3" s="75"/>
      <c r="L3" s="75"/>
      <c r="M3" s="75"/>
      <c r="N3" s="75"/>
      <c r="O3" s="75"/>
      <c r="P3" s="75"/>
      <c r="Q3" s="75"/>
    </row>
    <row r="4" spans="1:17" ht="13.5">
      <c r="A4" s="877" t="s">
        <v>48</v>
      </c>
      <c r="B4" s="877"/>
      <c r="C4" s="877"/>
      <c r="D4" s="877"/>
      <c r="E4" s="877"/>
      <c r="F4" s="877"/>
      <c r="G4" s="877"/>
      <c r="H4" s="87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43647</v>
      </c>
      <c r="F6" s="148"/>
      <c r="G6" s="95" t="str">
        <f>'P1 Info &amp; Certification'!M20</f>
        <v>To</v>
      </c>
      <c r="H6" s="443">
        <f>'P1 Info &amp; Certification'!N20</f>
        <v>44012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8.25" customHeight="1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16.5" customHeight="1" thickBot="1">
      <c r="A8" s="154"/>
      <c r="B8" s="84" t="s">
        <v>59</v>
      </c>
      <c r="C8" s="489" t="str">
        <f>'P1 Info &amp; Certification'!E12</f>
        <v>COMMUNITY HEALTH CENTER, INC.</v>
      </c>
      <c r="D8" s="210"/>
      <c r="E8" s="490"/>
      <c r="F8" s="490"/>
      <c r="G8" s="490"/>
      <c r="H8" s="491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7.5" customHeight="1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7:8" ht="13.5" thickBot="1">
      <c r="G10" s="1004" t="s">
        <v>153</v>
      </c>
      <c r="H10" s="1004"/>
    </row>
    <row r="11" spans="1:8" ht="12">
      <c r="A11" s="201"/>
      <c r="B11" s="202"/>
      <c r="C11" s="202"/>
      <c r="D11" s="202"/>
      <c r="E11" s="202"/>
      <c r="F11" s="202"/>
      <c r="G11" s="202"/>
      <c r="H11" s="203"/>
    </row>
    <row r="12" spans="1:8" ht="12.75" customHeight="1">
      <c r="A12" s="1002" t="s">
        <v>152</v>
      </c>
      <c r="B12" s="972"/>
      <c r="C12" s="973"/>
      <c r="D12" s="143" t="s">
        <v>60</v>
      </c>
      <c r="E12" s="143" t="s">
        <v>61</v>
      </c>
      <c r="F12" s="143" t="s">
        <v>62</v>
      </c>
      <c r="G12" s="144" t="s">
        <v>63</v>
      </c>
      <c r="H12" s="206" t="s">
        <v>64</v>
      </c>
    </row>
    <row r="13" spans="1:8" ht="39.75" customHeight="1">
      <c r="A13" s="207" t="s">
        <v>83</v>
      </c>
      <c r="B13" s="972" t="s">
        <v>243</v>
      </c>
      <c r="C13" s="972"/>
      <c r="D13" s="171" t="s">
        <v>154</v>
      </c>
      <c r="E13" s="172" t="s">
        <v>24</v>
      </c>
      <c r="F13" s="172" t="s">
        <v>43</v>
      </c>
      <c r="G13" s="172" t="s">
        <v>14</v>
      </c>
      <c r="H13" s="251" t="s">
        <v>155</v>
      </c>
    </row>
    <row r="14" spans="1:8" ht="12">
      <c r="A14" s="492" t="s">
        <v>49</v>
      </c>
      <c r="B14" s="898" t="s">
        <v>157</v>
      </c>
      <c r="C14" s="898"/>
      <c r="D14" s="349">
        <v>37232966</v>
      </c>
      <c r="E14" s="349">
        <v>6581628</v>
      </c>
      <c r="F14" s="349">
        <v>15330385</v>
      </c>
      <c r="G14" s="349">
        <v>11175498</v>
      </c>
      <c r="H14" s="350">
        <f>SUM(D14:G14)</f>
        <v>70320477</v>
      </c>
    </row>
    <row r="15" spans="1:8" ht="12">
      <c r="A15" s="492" t="s">
        <v>50</v>
      </c>
      <c r="B15" s="898" t="s">
        <v>158</v>
      </c>
      <c r="C15" s="898"/>
      <c r="D15" s="349">
        <v>5037768</v>
      </c>
      <c r="E15" s="349">
        <v>339228</v>
      </c>
      <c r="F15" s="349">
        <v>2647514</v>
      </c>
      <c r="G15" s="349">
        <v>1243147</v>
      </c>
      <c r="H15" s="350">
        <f>SUM(D15:G15)</f>
        <v>9267657</v>
      </c>
    </row>
    <row r="16" spans="1:8" ht="12">
      <c r="A16" s="492" t="s">
        <v>82</v>
      </c>
      <c r="B16" s="898" t="s">
        <v>159</v>
      </c>
      <c r="C16" s="898"/>
      <c r="D16" s="349">
        <v>3373529</v>
      </c>
      <c r="E16" s="349">
        <v>14524</v>
      </c>
      <c r="F16" s="349">
        <v>1265249</v>
      </c>
      <c r="G16" s="349">
        <v>17795</v>
      </c>
      <c r="H16" s="350">
        <f>SUM(D16:G16)</f>
        <v>4671097</v>
      </c>
    </row>
    <row r="17" spans="1:8" ht="12">
      <c r="A17" s="492" t="s">
        <v>51</v>
      </c>
      <c r="B17" s="493" t="s">
        <v>242</v>
      </c>
      <c r="C17" s="493"/>
      <c r="D17" s="349">
        <v>1118340</v>
      </c>
      <c r="E17" s="349">
        <v>336826</v>
      </c>
      <c r="F17" s="349">
        <v>13196</v>
      </c>
      <c r="G17" s="349">
        <v>15402</v>
      </c>
      <c r="H17" s="350">
        <f>SUM(D17:G17)</f>
        <v>1483764</v>
      </c>
    </row>
    <row r="18" spans="1:8" ht="12">
      <c r="A18" s="492" t="s">
        <v>156</v>
      </c>
      <c r="B18" s="494" t="s">
        <v>169</v>
      </c>
      <c r="C18" s="493"/>
      <c r="D18" s="349">
        <v>445382</v>
      </c>
      <c r="E18" s="349">
        <v>993</v>
      </c>
      <c r="F18" s="351">
        <v>108405</v>
      </c>
      <c r="G18" s="349">
        <v>25485</v>
      </c>
      <c r="H18" s="350">
        <f>SUM(D18:G18)</f>
        <v>580265</v>
      </c>
    </row>
    <row r="19" spans="1:8" ht="12.75" thickBot="1">
      <c r="A19" s="252" t="s">
        <v>55</v>
      </c>
      <c r="B19" s="363" t="s">
        <v>355</v>
      </c>
      <c r="C19" s="174"/>
      <c r="D19" s="352">
        <f>SUM(D14:D18)</f>
        <v>47207985</v>
      </c>
      <c r="E19" s="352">
        <f>SUM(E14:E18)</f>
        <v>7273199</v>
      </c>
      <c r="F19" s="352">
        <f>SUM(F14:F18)</f>
        <v>19364749</v>
      </c>
      <c r="G19" s="352">
        <f>SUM(G14:G18)</f>
        <v>12477327</v>
      </c>
      <c r="H19" s="353">
        <f>SUM(H14:H18)</f>
        <v>86323260</v>
      </c>
    </row>
    <row r="20" spans="1:8" ht="6.75" customHeight="1" thickTop="1">
      <c r="A20" s="253"/>
      <c r="B20" s="150"/>
      <c r="C20" s="150"/>
      <c r="D20" s="354"/>
      <c r="E20" s="355"/>
      <c r="F20" s="355"/>
      <c r="G20" s="355"/>
      <c r="H20" s="350"/>
    </row>
    <row r="21" spans="1:8" s="149" customFormat="1" ht="16.5" customHeight="1">
      <c r="A21" s="207" t="s">
        <v>84</v>
      </c>
      <c r="B21" s="972" t="s">
        <v>244</v>
      </c>
      <c r="C21" s="973"/>
      <c r="D21" s="355"/>
      <c r="E21" s="355"/>
      <c r="F21" s="355"/>
      <c r="G21" s="355"/>
      <c r="H21" s="350"/>
    </row>
    <row r="22" spans="1:8" ht="12">
      <c r="A22" s="492" t="s">
        <v>49</v>
      </c>
      <c r="B22" s="898" t="s">
        <v>165</v>
      </c>
      <c r="C22" s="898"/>
      <c r="D22" s="349"/>
      <c r="E22" s="349"/>
      <c r="F22" s="349"/>
      <c r="G22" s="349"/>
      <c r="H22" s="350">
        <f aca="true" t="shared" si="0" ref="H22:H31">SUM(D22:G22)</f>
        <v>0</v>
      </c>
    </row>
    <row r="23" spans="1:8" ht="12">
      <c r="A23" s="492" t="s">
        <v>50</v>
      </c>
      <c r="B23" s="898" t="s">
        <v>166</v>
      </c>
      <c r="C23" s="898"/>
      <c r="D23" s="349">
        <v>1603239</v>
      </c>
      <c r="E23" s="349">
        <v>686377</v>
      </c>
      <c r="F23" s="349">
        <v>1819812</v>
      </c>
      <c r="G23" s="349">
        <v>16501465</v>
      </c>
      <c r="H23" s="350">
        <f t="shared" si="0"/>
        <v>20610893</v>
      </c>
    </row>
    <row r="24" spans="1:8" ht="12">
      <c r="A24" s="492" t="s">
        <v>82</v>
      </c>
      <c r="B24" s="495" t="s">
        <v>167</v>
      </c>
      <c r="C24" s="493"/>
      <c r="D24" s="349"/>
      <c r="E24" s="349"/>
      <c r="F24" s="349"/>
      <c r="G24" s="349"/>
      <c r="H24" s="350">
        <f t="shared" si="0"/>
        <v>0</v>
      </c>
    </row>
    <row r="25" spans="1:8" ht="12">
      <c r="A25" s="492" t="s">
        <v>51</v>
      </c>
      <c r="B25" s="495" t="s">
        <v>168</v>
      </c>
      <c r="C25" s="496"/>
      <c r="D25" s="351"/>
      <c r="E25" s="349"/>
      <c r="F25" s="349"/>
      <c r="G25" s="349">
        <v>3215769</v>
      </c>
      <c r="H25" s="350">
        <f t="shared" si="0"/>
        <v>3215769</v>
      </c>
    </row>
    <row r="26" spans="1:8" ht="12">
      <c r="A26" s="492" t="s">
        <v>156</v>
      </c>
      <c r="B26" s="495" t="s">
        <v>169</v>
      </c>
      <c r="C26" s="497" t="s">
        <v>488</v>
      </c>
      <c r="D26" s="349"/>
      <c r="E26" s="349"/>
      <c r="F26" s="349"/>
      <c r="G26" s="349">
        <v>1585859</v>
      </c>
      <c r="H26" s="350">
        <f t="shared" si="0"/>
        <v>1585859</v>
      </c>
    </row>
    <row r="27" spans="1:8" ht="12">
      <c r="A27" s="492" t="s">
        <v>55</v>
      </c>
      <c r="B27" s="495" t="s">
        <v>169</v>
      </c>
      <c r="C27" s="498" t="s">
        <v>489</v>
      </c>
      <c r="D27" s="349">
        <v>10556814</v>
      </c>
      <c r="E27" s="349">
        <v>12758</v>
      </c>
      <c r="F27" s="349">
        <v>91429</v>
      </c>
      <c r="G27" s="349">
        <v>19823</v>
      </c>
      <c r="H27" s="350">
        <f t="shared" si="0"/>
        <v>10680824</v>
      </c>
    </row>
    <row r="28" spans="1:8" s="149" customFormat="1" ht="12.75">
      <c r="A28" s="492" t="s">
        <v>56</v>
      </c>
      <c r="B28" s="495" t="s">
        <v>169</v>
      </c>
      <c r="C28" s="498" t="s">
        <v>490</v>
      </c>
      <c r="D28" s="349"/>
      <c r="E28" s="349"/>
      <c r="F28" s="349"/>
      <c r="G28" s="349">
        <v>773937</v>
      </c>
      <c r="H28" s="350">
        <f t="shared" si="0"/>
        <v>773937</v>
      </c>
    </row>
    <row r="29" spans="1:8" s="149" customFormat="1" ht="12.75">
      <c r="A29" s="492" t="s">
        <v>161</v>
      </c>
      <c r="B29" s="495" t="s">
        <v>169</v>
      </c>
      <c r="C29" s="498" t="s">
        <v>14</v>
      </c>
      <c r="D29" s="349"/>
      <c r="E29" s="349"/>
      <c r="F29" s="349"/>
      <c r="G29" s="349">
        <f>640400+790523+38396</f>
        <v>1469319</v>
      </c>
      <c r="H29" s="350">
        <f t="shared" si="0"/>
        <v>1469319</v>
      </c>
    </row>
    <row r="30" spans="1:8" s="149" customFormat="1" ht="12.75">
      <c r="A30" s="492" t="s">
        <v>162</v>
      </c>
      <c r="B30" s="495" t="s">
        <v>169</v>
      </c>
      <c r="C30" s="498" t="s">
        <v>491</v>
      </c>
      <c r="D30" s="349"/>
      <c r="E30" s="349"/>
      <c r="F30" s="349"/>
      <c r="G30" s="349">
        <v>409241</v>
      </c>
      <c r="H30" s="350">
        <f t="shared" si="0"/>
        <v>409241</v>
      </c>
    </row>
    <row r="31" spans="1:8" s="149" customFormat="1" ht="12.75">
      <c r="A31" s="492" t="s">
        <v>163</v>
      </c>
      <c r="B31" s="495" t="s">
        <v>169</v>
      </c>
      <c r="C31" s="498" t="s">
        <v>707</v>
      </c>
      <c r="D31" s="349"/>
      <c r="E31" s="349"/>
      <c r="F31" s="349"/>
      <c r="G31" s="349">
        <v>4020778</v>
      </c>
      <c r="H31" s="350">
        <f t="shared" si="0"/>
        <v>4020778</v>
      </c>
    </row>
    <row r="32" spans="1:8" s="149" customFormat="1" ht="13.5" thickBot="1">
      <c r="A32" s="252" t="s">
        <v>164</v>
      </c>
      <c r="B32" s="173" t="s">
        <v>356</v>
      </c>
      <c r="C32" s="174"/>
      <c r="D32" s="352">
        <f>SUM(D22:D31)</f>
        <v>12160053</v>
      </c>
      <c r="E32" s="352">
        <f>SUM(E22:E31)</f>
        <v>699135</v>
      </c>
      <c r="F32" s="352">
        <f>SUM(F22:F31)</f>
        <v>1911241</v>
      </c>
      <c r="G32" s="352">
        <f>SUM(G22:G31)</f>
        <v>27996191</v>
      </c>
      <c r="H32" s="353">
        <f>SUM(H22:H31)</f>
        <v>42766620</v>
      </c>
    </row>
    <row r="33" spans="1:8" s="149" customFormat="1" ht="5.25" customHeight="1" thickTop="1">
      <c r="A33" s="253"/>
      <c r="B33" s="1003"/>
      <c r="C33" s="1003"/>
      <c r="D33" s="356"/>
      <c r="E33" s="356"/>
      <c r="F33" s="357"/>
      <c r="G33" s="356"/>
      <c r="H33" s="358"/>
    </row>
    <row r="34" spans="1:8" ht="42" customHeight="1">
      <c r="A34" s="207" t="s">
        <v>91</v>
      </c>
      <c r="B34" s="972" t="s">
        <v>245</v>
      </c>
      <c r="C34" s="973"/>
      <c r="D34" s="355"/>
      <c r="E34" s="355"/>
      <c r="F34" s="355"/>
      <c r="G34" s="355"/>
      <c r="H34" s="350"/>
    </row>
    <row r="35" spans="1:8" ht="12">
      <c r="A35" s="492" t="s">
        <v>49</v>
      </c>
      <c r="B35" s="495" t="s">
        <v>169</v>
      </c>
      <c r="C35" s="498"/>
      <c r="D35" s="349"/>
      <c r="E35" s="349"/>
      <c r="F35" s="349"/>
      <c r="G35" s="349"/>
      <c r="H35" s="350">
        <f aca="true" t="shared" si="1" ref="H35:H40">SUM(D35:G35)</f>
        <v>0</v>
      </c>
    </row>
    <row r="36" spans="1:8" ht="12">
      <c r="A36" s="492" t="s">
        <v>50</v>
      </c>
      <c r="B36" s="495" t="s">
        <v>169</v>
      </c>
      <c r="C36" s="498"/>
      <c r="D36" s="349"/>
      <c r="E36" s="349"/>
      <c r="F36" s="349"/>
      <c r="G36" s="349"/>
      <c r="H36" s="350">
        <f t="shared" si="1"/>
        <v>0</v>
      </c>
    </row>
    <row r="37" spans="1:8" ht="12">
      <c r="A37" s="492" t="s">
        <v>82</v>
      </c>
      <c r="B37" s="495" t="s">
        <v>169</v>
      </c>
      <c r="C37" s="498"/>
      <c r="D37" s="349"/>
      <c r="E37" s="349"/>
      <c r="F37" s="349"/>
      <c r="G37" s="349"/>
      <c r="H37" s="350">
        <f t="shared" si="1"/>
        <v>0</v>
      </c>
    </row>
    <row r="38" spans="1:8" ht="12">
      <c r="A38" s="492" t="s">
        <v>51</v>
      </c>
      <c r="B38" s="495" t="s">
        <v>169</v>
      </c>
      <c r="C38" s="498"/>
      <c r="D38" s="349"/>
      <c r="E38" s="349"/>
      <c r="F38" s="349"/>
      <c r="G38" s="349"/>
      <c r="H38" s="350">
        <f t="shared" si="1"/>
        <v>0</v>
      </c>
    </row>
    <row r="39" spans="1:8" ht="12">
      <c r="A39" s="492" t="s">
        <v>156</v>
      </c>
      <c r="B39" s="495" t="s">
        <v>169</v>
      </c>
      <c r="C39" s="498"/>
      <c r="D39" s="349"/>
      <c r="E39" s="349"/>
      <c r="F39" s="349"/>
      <c r="G39" s="349"/>
      <c r="H39" s="350">
        <f t="shared" si="1"/>
        <v>0</v>
      </c>
    </row>
    <row r="40" spans="1:8" ht="12">
      <c r="A40" s="492" t="s">
        <v>55</v>
      </c>
      <c r="B40" s="495" t="s">
        <v>169</v>
      </c>
      <c r="C40" s="498"/>
      <c r="D40" s="349"/>
      <c r="E40" s="349"/>
      <c r="F40" s="349"/>
      <c r="G40" s="349"/>
      <c r="H40" s="350">
        <f t="shared" si="1"/>
        <v>0</v>
      </c>
    </row>
    <row r="41" spans="1:8" ht="12.75" thickBot="1">
      <c r="A41" s="252" t="s">
        <v>56</v>
      </c>
      <c r="B41" s="173" t="s">
        <v>170</v>
      </c>
      <c r="C41" s="174"/>
      <c r="D41" s="352">
        <f>SUM(D35:D40)</f>
        <v>0</v>
      </c>
      <c r="E41" s="352">
        <f>SUM(E35:E40)</f>
        <v>0</v>
      </c>
      <c r="F41" s="352">
        <f>SUM(F35:F40)</f>
        <v>0</v>
      </c>
      <c r="G41" s="352">
        <f>SUM(G35:G40)</f>
        <v>0</v>
      </c>
      <c r="H41" s="353">
        <f>SUM(H35:H40)</f>
        <v>0</v>
      </c>
    </row>
    <row r="42" spans="1:8" ht="21" customHeight="1" thickBot="1" thickTop="1">
      <c r="A42" s="208" t="s">
        <v>92</v>
      </c>
      <c r="B42" s="1001" t="s">
        <v>357</v>
      </c>
      <c r="C42" s="1001"/>
      <c r="D42" s="359">
        <f>D41+D32+D19</f>
        <v>59368038</v>
      </c>
      <c r="E42" s="359">
        <f>E41+E32+E19</f>
        <v>7972334</v>
      </c>
      <c r="F42" s="359">
        <f>F41+F32+F19</f>
        <v>21275990</v>
      </c>
      <c r="G42" s="359">
        <f>G41+G32+G19</f>
        <v>40473518</v>
      </c>
      <c r="H42" s="360">
        <f>H41+H32+H19</f>
        <v>129089880</v>
      </c>
    </row>
    <row r="43" spans="1:8" ht="13.5" thickBot="1" thickTop="1">
      <c r="A43" s="209"/>
      <c r="B43" s="210"/>
      <c r="C43" s="210"/>
      <c r="D43" s="210"/>
      <c r="E43" s="210"/>
      <c r="F43" s="210"/>
      <c r="G43" s="210"/>
      <c r="H43" s="211"/>
    </row>
    <row r="44" spans="1:8" ht="12">
      <c r="A44" s="156"/>
      <c r="B44" s="146"/>
      <c r="C44" s="146"/>
      <c r="D44" s="146"/>
      <c r="E44" s="146"/>
      <c r="F44" s="146"/>
      <c r="G44" s="146"/>
      <c r="H44" s="146"/>
    </row>
    <row r="45" spans="1:8" ht="12">
      <c r="A45" s="156"/>
      <c r="B45" s="146"/>
      <c r="C45" s="146"/>
      <c r="D45" s="146"/>
      <c r="E45" s="146"/>
      <c r="F45" s="146"/>
      <c r="G45" s="146"/>
      <c r="H45" s="146"/>
    </row>
    <row r="46" spans="1:8" ht="12">
      <c r="A46" s="156"/>
      <c r="B46" s="146"/>
      <c r="C46" s="146"/>
      <c r="D46" s="146"/>
      <c r="E46" s="146"/>
      <c r="F46" s="146"/>
      <c r="G46" s="146"/>
      <c r="H46" s="146"/>
    </row>
  </sheetData>
  <sheetProtection password="E1AE" sheet="1" formatColumns="0" formatRows="0"/>
  <mergeCells count="16">
    <mergeCell ref="B15:C15"/>
    <mergeCell ref="A1:H1"/>
    <mergeCell ref="A2:H2"/>
    <mergeCell ref="A3:H3"/>
    <mergeCell ref="A4:H4"/>
    <mergeCell ref="G10:H10"/>
    <mergeCell ref="B42:C42"/>
    <mergeCell ref="A12:C12"/>
    <mergeCell ref="B33:C33"/>
    <mergeCell ref="B34:C34"/>
    <mergeCell ref="B16:C16"/>
    <mergeCell ref="B21:C21"/>
    <mergeCell ref="B22:C22"/>
    <mergeCell ref="B23:C23"/>
    <mergeCell ref="B13:C13"/>
    <mergeCell ref="B14:C14"/>
  </mergeCells>
  <printOptions horizontalCentered="1" verticalCentered="1"/>
  <pageMargins left="0" right="0" top="0.25" bottom="0.25" header="0.5" footer="0.25"/>
  <pageSetup horizontalDpi="600" verticalDpi="600" orientation="landscape" scale="90" r:id="rId1"/>
  <headerFooter alignWithMargins="0">
    <oddFooter>&amp;LDSS-16 10-24-2016&amp;RPage 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35"/>
  <sheetViews>
    <sheetView zoomScale="85" zoomScaleNormal="85" zoomScalePageLayoutView="0" workbookViewId="0" topLeftCell="A2">
      <selection activeCell="P14" sqref="P14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75"/>
    </row>
    <row r="2" spans="1:16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75"/>
    </row>
    <row r="3" spans="1:16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75"/>
    </row>
    <row r="4" spans="1:16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38"/>
    </row>
    <row r="6" spans="1:16" ht="27.75" customHeight="1">
      <c r="A6" s="93" t="s">
        <v>54</v>
      </c>
      <c r="B6" s="77"/>
      <c r="C6" s="77"/>
      <c r="D6" s="78" t="s">
        <v>6</v>
      </c>
      <c r="E6" s="984">
        <f>'P1 Info &amp; Certification'!L20</f>
        <v>43647</v>
      </c>
      <c r="F6" s="984"/>
      <c r="G6" s="984"/>
      <c r="H6" s="82"/>
      <c r="I6" s="79"/>
      <c r="J6" s="78" t="s">
        <v>7</v>
      </c>
      <c r="K6" s="77"/>
      <c r="L6" s="984">
        <f>'P1 Info &amp; Certification'!N20</f>
        <v>44012</v>
      </c>
      <c r="M6" s="984"/>
      <c r="N6" s="984"/>
      <c r="O6" s="80"/>
      <c r="P6" s="439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>
      <c r="A8" s="124" t="s">
        <v>59</v>
      </c>
      <c r="B8" s="90"/>
      <c r="C8" s="90"/>
      <c r="D8" s="1020" t="str">
        <f>'P1 Info &amp; Certification'!E12</f>
        <v>COMMUNITY HEALTH CENTER, INC.</v>
      </c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1"/>
    </row>
    <row r="9" spans="1:16" ht="15.75" customHeight="1" thickBot="1">
      <c r="A9" s="1022"/>
      <c r="B9" s="1023"/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4"/>
      <c r="P9" s="13"/>
    </row>
    <row r="10" spans="1:16" ht="1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246</v>
      </c>
      <c r="P10" s="13"/>
    </row>
    <row r="11" spans="1:16" ht="14.2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1025" t="s">
        <v>247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7"/>
      <c r="O12" s="1028"/>
      <c r="P12" s="158"/>
    </row>
    <row r="13" spans="1:16" s="15" customFormat="1" ht="39" customHeight="1" thickBot="1">
      <c r="A13" s="175" t="s">
        <v>83</v>
      </c>
      <c r="B13" s="459"/>
      <c r="C13" s="1018" t="s">
        <v>165</v>
      </c>
      <c r="D13" s="1018"/>
      <c r="E13" s="1018"/>
      <c r="F13" s="1018"/>
      <c r="G13" s="1018"/>
      <c r="H13" s="1018"/>
      <c r="I13" s="1018"/>
      <c r="J13" s="1018"/>
      <c r="K13" s="1019"/>
      <c r="L13" s="1031" t="s">
        <v>171</v>
      </c>
      <c r="M13" s="1028"/>
      <c r="N13" s="1029"/>
      <c r="O13" s="1030"/>
      <c r="P13" s="158"/>
    </row>
    <row r="14" spans="1:16" ht="21.75" customHeight="1">
      <c r="A14" s="499"/>
      <c r="B14" s="500" t="s">
        <v>49</v>
      </c>
      <c r="C14" s="1012" t="s">
        <v>172</v>
      </c>
      <c r="D14" s="1012"/>
      <c r="E14" s="1012"/>
      <c r="F14" s="1012"/>
      <c r="G14" s="1012"/>
      <c r="H14" s="1012"/>
      <c r="I14" s="1012"/>
      <c r="J14" s="1012"/>
      <c r="K14" s="1012"/>
      <c r="L14" s="1013"/>
      <c r="M14" s="1013"/>
      <c r="N14" s="1005"/>
      <c r="O14" s="1006"/>
      <c r="P14" s="13"/>
    </row>
    <row r="15" spans="1:16" ht="21.75" customHeight="1">
      <c r="A15" s="499"/>
      <c r="B15" s="500" t="s">
        <v>50</v>
      </c>
      <c r="C15" s="1012" t="s">
        <v>24</v>
      </c>
      <c r="D15" s="1012"/>
      <c r="E15" s="1012"/>
      <c r="F15" s="1012"/>
      <c r="G15" s="1012"/>
      <c r="H15" s="1012"/>
      <c r="I15" s="1012"/>
      <c r="J15" s="1012"/>
      <c r="K15" s="1012"/>
      <c r="L15" s="1013"/>
      <c r="M15" s="1013"/>
      <c r="N15" s="1005"/>
      <c r="O15" s="1006"/>
      <c r="P15" s="13"/>
    </row>
    <row r="16" spans="1:16" ht="21.75" customHeight="1">
      <c r="A16" s="499"/>
      <c r="B16" s="500" t="s">
        <v>82</v>
      </c>
      <c r="C16" s="1012" t="s">
        <v>43</v>
      </c>
      <c r="D16" s="1012"/>
      <c r="E16" s="1012"/>
      <c r="F16" s="1012"/>
      <c r="G16" s="1012"/>
      <c r="H16" s="1012"/>
      <c r="I16" s="1012"/>
      <c r="J16" s="1012"/>
      <c r="K16" s="1012"/>
      <c r="L16" s="1013"/>
      <c r="M16" s="1013"/>
      <c r="N16" s="1005"/>
      <c r="O16" s="1006"/>
      <c r="P16" s="13"/>
    </row>
    <row r="17" spans="1:16" ht="21.75" customHeight="1">
      <c r="A17" s="499"/>
      <c r="B17" s="500" t="s">
        <v>51</v>
      </c>
      <c r="C17" s="1012" t="s">
        <v>169</v>
      </c>
      <c r="D17" s="1012"/>
      <c r="E17" s="1011"/>
      <c r="F17" s="1011"/>
      <c r="G17" s="1011"/>
      <c r="H17" s="1011"/>
      <c r="I17" s="1011"/>
      <c r="J17" s="1011"/>
      <c r="K17" s="501"/>
      <c r="L17" s="1013"/>
      <c r="M17" s="1013"/>
      <c r="N17" s="1005"/>
      <c r="O17" s="1006"/>
      <c r="P17" s="13"/>
    </row>
    <row r="18" spans="1:16" ht="21.75" customHeight="1">
      <c r="A18" s="499"/>
      <c r="B18" s="502"/>
      <c r="C18" s="1012" t="s">
        <v>169</v>
      </c>
      <c r="D18" s="1012"/>
      <c r="E18" s="1011"/>
      <c r="F18" s="1011"/>
      <c r="G18" s="1011"/>
      <c r="H18" s="1011"/>
      <c r="I18" s="1011"/>
      <c r="J18" s="1011"/>
      <c r="K18" s="501"/>
      <c r="L18" s="1013"/>
      <c r="M18" s="1013"/>
      <c r="N18" s="1005"/>
      <c r="O18" s="1006"/>
      <c r="P18" s="13"/>
    </row>
    <row r="19" spans="1:16" ht="21.75" customHeight="1">
      <c r="A19" s="499"/>
      <c r="B19" s="503"/>
      <c r="C19" s="1012" t="s">
        <v>169</v>
      </c>
      <c r="D19" s="1012"/>
      <c r="E19" s="1011"/>
      <c r="F19" s="1011"/>
      <c r="G19" s="1011"/>
      <c r="H19" s="1011"/>
      <c r="I19" s="1011"/>
      <c r="J19" s="1011"/>
      <c r="K19" s="501"/>
      <c r="L19" s="1013"/>
      <c r="M19" s="1013"/>
      <c r="N19" s="1005"/>
      <c r="O19" s="1006"/>
      <c r="P19" s="13"/>
    </row>
    <row r="20" spans="1:16" ht="21.75" customHeight="1">
      <c r="A20" s="499"/>
      <c r="B20" s="503"/>
      <c r="C20" s="1012" t="s">
        <v>169</v>
      </c>
      <c r="D20" s="1012"/>
      <c r="E20" s="1010"/>
      <c r="F20" s="1010"/>
      <c r="G20" s="1010"/>
      <c r="H20" s="1010"/>
      <c r="I20" s="1010"/>
      <c r="J20" s="1010"/>
      <c r="K20" s="501"/>
      <c r="L20" s="1015"/>
      <c r="M20" s="1016"/>
      <c r="N20" s="1006"/>
      <c r="O20" s="1017"/>
      <c r="P20" s="13"/>
    </row>
    <row r="21" spans="1:16" ht="21.75" customHeight="1">
      <c r="A21" s="499"/>
      <c r="B21" s="503"/>
      <c r="C21" s="1012" t="s">
        <v>169</v>
      </c>
      <c r="D21" s="1012"/>
      <c r="E21" s="1011"/>
      <c r="F21" s="1011"/>
      <c r="G21" s="1011"/>
      <c r="H21" s="1011"/>
      <c r="I21" s="1011"/>
      <c r="J21" s="1011"/>
      <c r="K21" s="501"/>
      <c r="L21" s="1013"/>
      <c r="M21" s="1013"/>
      <c r="N21" s="1005"/>
      <c r="O21" s="1006"/>
      <c r="P21" s="13"/>
    </row>
    <row r="22" spans="1:22" ht="21.75" customHeight="1" thickBot="1">
      <c r="A22" s="177"/>
      <c r="B22" s="163" t="s">
        <v>156</v>
      </c>
      <c r="C22" s="930" t="s">
        <v>173</v>
      </c>
      <c r="D22" s="930"/>
      <c r="E22" s="930"/>
      <c r="F22" s="930"/>
      <c r="G22" s="930"/>
      <c r="H22" s="930"/>
      <c r="I22" s="930"/>
      <c r="J22" s="930"/>
      <c r="K22" s="930"/>
      <c r="L22" s="1007">
        <f>SUM(L14:M21)</f>
        <v>0</v>
      </c>
      <c r="M22" s="1007"/>
      <c r="N22" s="1008"/>
      <c r="O22" s="1009"/>
      <c r="P22" s="13"/>
      <c r="T22" s="938"/>
      <c r="U22" s="938"/>
      <c r="V22" s="938"/>
    </row>
    <row r="23" spans="1:16" ht="21.75" customHeight="1" thickBot="1" thickTop="1">
      <c r="A23" s="177"/>
      <c r="B23" s="457"/>
      <c r="C23" s="930"/>
      <c r="D23" s="930"/>
      <c r="E23" s="930"/>
      <c r="F23" s="930"/>
      <c r="G23" s="930"/>
      <c r="H23" s="930"/>
      <c r="I23" s="930"/>
      <c r="J23" s="930"/>
      <c r="K23" s="930"/>
      <c r="L23" s="1014"/>
      <c r="M23" s="1014"/>
      <c r="N23" s="1014"/>
      <c r="O23" s="1014"/>
      <c r="P23" s="13"/>
    </row>
    <row r="24" spans="1:16" ht="21.75" customHeight="1" thickBot="1">
      <c r="A24" s="175" t="s">
        <v>84</v>
      </c>
      <c r="B24" s="459"/>
      <c r="C24" s="1018" t="s">
        <v>174</v>
      </c>
      <c r="D24" s="1018"/>
      <c r="E24" s="1018"/>
      <c r="F24" s="1018"/>
      <c r="G24" s="1018"/>
      <c r="H24" s="1018"/>
      <c r="I24" s="1018"/>
      <c r="J24" s="1018"/>
      <c r="K24" s="1019"/>
      <c r="L24" s="1014"/>
      <c r="M24" s="1014"/>
      <c r="N24" s="1014"/>
      <c r="O24" s="1014"/>
      <c r="P24" s="13"/>
    </row>
    <row r="25" spans="1:16" ht="18" customHeight="1">
      <c r="A25" s="499"/>
      <c r="B25" s="500" t="s">
        <v>49</v>
      </c>
      <c r="C25" s="1012" t="s">
        <v>172</v>
      </c>
      <c r="D25" s="1012"/>
      <c r="E25" s="1012"/>
      <c r="F25" s="1012"/>
      <c r="G25" s="1012"/>
      <c r="H25" s="1012"/>
      <c r="I25" s="1012"/>
      <c r="J25" s="1012"/>
      <c r="K25" s="1012"/>
      <c r="L25" s="1013"/>
      <c r="M25" s="1013"/>
      <c r="N25" s="1005"/>
      <c r="O25" s="1006"/>
      <c r="P25" s="13"/>
    </row>
    <row r="26" spans="1:16" ht="18" customHeight="1">
      <c r="A26" s="504"/>
      <c r="B26" s="500" t="s">
        <v>50</v>
      </c>
      <c r="C26" s="1012" t="s">
        <v>24</v>
      </c>
      <c r="D26" s="1012"/>
      <c r="E26" s="1012"/>
      <c r="F26" s="1012"/>
      <c r="G26" s="1012"/>
      <c r="H26" s="1012"/>
      <c r="I26" s="1012"/>
      <c r="J26" s="1012"/>
      <c r="K26" s="1012"/>
      <c r="L26" s="1013"/>
      <c r="M26" s="1013"/>
      <c r="N26" s="1005"/>
      <c r="O26" s="1006"/>
      <c r="P26" s="13"/>
    </row>
    <row r="27" spans="1:16" ht="18" customHeight="1">
      <c r="A27" s="179"/>
      <c r="B27" s="500" t="s">
        <v>82</v>
      </c>
      <c r="C27" s="1012" t="s">
        <v>43</v>
      </c>
      <c r="D27" s="1012"/>
      <c r="E27" s="1012"/>
      <c r="F27" s="1012"/>
      <c r="G27" s="1012"/>
      <c r="H27" s="1012"/>
      <c r="I27" s="1012"/>
      <c r="J27" s="1012"/>
      <c r="K27" s="1012"/>
      <c r="L27" s="1013"/>
      <c r="M27" s="1013"/>
      <c r="N27" s="1005"/>
      <c r="O27" s="1006"/>
      <c r="P27" s="13"/>
    </row>
    <row r="28" spans="1:16" ht="18" customHeight="1">
      <c r="A28" s="505"/>
      <c r="B28" s="500" t="s">
        <v>51</v>
      </c>
      <c r="C28" s="1012" t="s">
        <v>169</v>
      </c>
      <c r="D28" s="1012"/>
      <c r="E28" s="1011"/>
      <c r="F28" s="1011"/>
      <c r="G28" s="1011"/>
      <c r="H28" s="1011"/>
      <c r="I28" s="1011"/>
      <c r="J28" s="1011"/>
      <c r="K28" s="501"/>
      <c r="L28" s="1013"/>
      <c r="M28" s="1013"/>
      <c r="N28" s="1005"/>
      <c r="O28" s="1006"/>
      <c r="P28" s="13"/>
    </row>
    <row r="29" spans="1:16" s="15" customFormat="1" ht="19.5" customHeight="1">
      <c r="A29" s="499"/>
      <c r="B29" s="502"/>
      <c r="C29" s="1012" t="s">
        <v>169</v>
      </c>
      <c r="D29" s="1012"/>
      <c r="E29" s="1011"/>
      <c r="F29" s="1011"/>
      <c r="G29" s="1011"/>
      <c r="H29" s="1011"/>
      <c r="I29" s="1011"/>
      <c r="J29" s="1011"/>
      <c r="K29" s="501"/>
      <c r="L29" s="1013"/>
      <c r="M29" s="1013"/>
      <c r="N29" s="1005"/>
      <c r="O29" s="1006"/>
      <c r="P29" s="158"/>
    </row>
    <row r="30" spans="1:16" ht="17.25" customHeight="1">
      <c r="A30" s="499"/>
      <c r="B30" s="503"/>
      <c r="C30" s="1012" t="s">
        <v>169</v>
      </c>
      <c r="D30" s="1012"/>
      <c r="E30" s="1010"/>
      <c r="F30" s="1010"/>
      <c r="G30" s="1010"/>
      <c r="H30" s="1010"/>
      <c r="I30" s="1010"/>
      <c r="J30" s="1010"/>
      <c r="K30" s="501"/>
      <c r="L30" s="1015"/>
      <c r="M30" s="1016"/>
      <c r="N30" s="1006"/>
      <c r="O30" s="1017"/>
      <c r="P30" s="13"/>
    </row>
    <row r="31" spans="1:16" ht="17.25" customHeight="1">
      <c r="A31" s="504"/>
      <c r="B31" s="503"/>
      <c r="C31" s="1012" t="s">
        <v>169</v>
      </c>
      <c r="D31" s="1012"/>
      <c r="E31" s="1011"/>
      <c r="F31" s="1011"/>
      <c r="G31" s="1011"/>
      <c r="H31" s="1011"/>
      <c r="I31" s="1011"/>
      <c r="J31" s="1011"/>
      <c r="K31" s="501"/>
      <c r="L31" s="1013"/>
      <c r="M31" s="1013"/>
      <c r="N31" s="1005"/>
      <c r="O31" s="1006"/>
      <c r="P31" s="13"/>
    </row>
    <row r="32" spans="1:16" ht="17.25" customHeight="1">
      <c r="A32" s="179"/>
      <c r="B32" s="503"/>
      <c r="C32" s="1012" t="s">
        <v>169</v>
      </c>
      <c r="D32" s="1012"/>
      <c r="E32" s="1011"/>
      <c r="F32" s="1011"/>
      <c r="G32" s="1011"/>
      <c r="H32" s="1011"/>
      <c r="I32" s="1011"/>
      <c r="J32" s="1011"/>
      <c r="K32" s="501"/>
      <c r="L32" s="1013"/>
      <c r="M32" s="1013"/>
      <c r="N32" s="1005"/>
      <c r="O32" s="1006"/>
      <c r="P32" s="13"/>
    </row>
    <row r="33" spans="1:16" ht="28.5" customHeight="1" thickBot="1">
      <c r="A33" s="177"/>
      <c r="B33" s="163" t="s">
        <v>156</v>
      </c>
      <c r="C33" s="930" t="s">
        <v>173</v>
      </c>
      <c r="D33" s="930"/>
      <c r="E33" s="930"/>
      <c r="F33" s="930"/>
      <c r="G33" s="930"/>
      <c r="H33" s="930"/>
      <c r="I33" s="930"/>
      <c r="J33" s="930"/>
      <c r="K33" s="930"/>
      <c r="L33" s="1007">
        <f>SUM(L25:M32)</f>
        <v>0</v>
      </c>
      <c r="M33" s="1007"/>
      <c r="N33" s="1008"/>
      <c r="O33" s="1009"/>
      <c r="P33" s="13"/>
    </row>
    <row r="34" spans="1:15" ht="13.5" thickTop="1">
      <c r="A34" s="8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1"/>
    </row>
    <row r="35" spans="1:15" ht="13.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</row>
  </sheetData>
  <sheetProtection password="E1AE" sheet="1"/>
  <mergeCells count="83">
    <mergeCell ref="A1:O1"/>
    <mergeCell ref="A2:O2"/>
    <mergeCell ref="A3:O3"/>
    <mergeCell ref="A4:O4"/>
    <mergeCell ref="E6:G6"/>
    <mergeCell ref="C16:K16"/>
    <mergeCell ref="N15:O15"/>
    <mergeCell ref="L6:N6"/>
    <mergeCell ref="C13:K13"/>
    <mergeCell ref="L13:M13"/>
    <mergeCell ref="C17:D17"/>
    <mergeCell ref="E17:J17"/>
    <mergeCell ref="N13:O13"/>
    <mergeCell ref="L14:M14"/>
    <mergeCell ref="N14:O14"/>
    <mergeCell ref="C18:D18"/>
    <mergeCell ref="E18:J18"/>
    <mergeCell ref="L17:M17"/>
    <mergeCell ref="N17:O17"/>
    <mergeCell ref="L18:M18"/>
    <mergeCell ref="D8:O8"/>
    <mergeCell ref="A9:O9"/>
    <mergeCell ref="A12:O12"/>
    <mergeCell ref="C14:K14"/>
    <mergeCell ref="C15:K15"/>
    <mergeCell ref="L15:M15"/>
    <mergeCell ref="T22:V22"/>
    <mergeCell ref="C23:K23"/>
    <mergeCell ref="C24:K24"/>
    <mergeCell ref="L23:M23"/>
    <mergeCell ref="N23:O23"/>
    <mergeCell ref="L24:M24"/>
    <mergeCell ref="L22:M22"/>
    <mergeCell ref="N22:O22"/>
    <mergeCell ref="C31:D31"/>
    <mergeCell ref="E31:J31"/>
    <mergeCell ref="C32:D32"/>
    <mergeCell ref="E32:J32"/>
    <mergeCell ref="C33:K33"/>
    <mergeCell ref="N30:O30"/>
    <mergeCell ref="L30:M30"/>
    <mergeCell ref="L31:M31"/>
    <mergeCell ref="N31:O31"/>
    <mergeCell ref="L32:M32"/>
    <mergeCell ref="C29:D29"/>
    <mergeCell ref="E29:J29"/>
    <mergeCell ref="C30:D30"/>
    <mergeCell ref="E30:J30"/>
    <mergeCell ref="C22:K22"/>
    <mergeCell ref="C19:D19"/>
    <mergeCell ref="C20:D20"/>
    <mergeCell ref="C21:D21"/>
    <mergeCell ref="E19:J19"/>
    <mergeCell ref="N18:O18"/>
    <mergeCell ref="L16:M16"/>
    <mergeCell ref="N16:O16"/>
    <mergeCell ref="L19:M19"/>
    <mergeCell ref="N19:O19"/>
    <mergeCell ref="N27:O27"/>
    <mergeCell ref="L20:M20"/>
    <mergeCell ref="N20:O20"/>
    <mergeCell ref="L21:M21"/>
    <mergeCell ref="N21:O21"/>
    <mergeCell ref="L28:M28"/>
    <mergeCell ref="N28:O28"/>
    <mergeCell ref="L29:M29"/>
    <mergeCell ref="N29:O29"/>
    <mergeCell ref="N24:O24"/>
    <mergeCell ref="L25:M25"/>
    <mergeCell ref="N25:O25"/>
    <mergeCell ref="L26:M26"/>
    <mergeCell ref="N26:O26"/>
    <mergeCell ref="L27:M27"/>
    <mergeCell ref="N32:O32"/>
    <mergeCell ref="L33:M33"/>
    <mergeCell ref="N33:O33"/>
    <mergeCell ref="E20:J20"/>
    <mergeCell ref="E21:J21"/>
    <mergeCell ref="C25:K25"/>
    <mergeCell ref="C26:K26"/>
    <mergeCell ref="C27:K27"/>
    <mergeCell ref="C28:D28"/>
    <mergeCell ref="E28:J28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 xml:space="preserve">&amp;LDSS-16 10-24-2016&amp;RPage16 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P8" sqref="P8"/>
    </sheetView>
  </sheetViews>
  <sheetFormatPr defaultColWidth="9.7109375" defaultRowHeight="12.75"/>
  <cols>
    <col min="1" max="1" width="7.57421875" style="12" customWidth="1"/>
    <col min="2" max="2" width="4.4218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75"/>
    </row>
    <row r="2" spans="1:16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75"/>
    </row>
    <row r="3" spans="1:16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75"/>
    </row>
    <row r="4" spans="1:16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85"/>
    </row>
    <row r="6" spans="1:16" ht="27.75" customHeight="1">
      <c r="A6" s="93" t="s">
        <v>54</v>
      </c>
      <c r="B6" s="77"/>
      <c r="C6" s="77"/>
      <c r="D6" s="78" t="s">
        <v>6</v>
      </c>
      <c r="E6" s="984">
        <f>'P1 Info &amp; Certification'!L20</f>
        <v>43647</v>
      </c>
      <c r="F6" s="984"/>
      <c r="G6" s="984"/>
      <c r="H6" s="82"/>
      <c r="I6" s="79"/>
      <c r="J6" s="78" t="s">
        <v>7</v>
      </c>
      <c r="K6" s="77"/>
      <c r="L6" s="984">
        <f>'P1 Info &amp; Certification'!N20</f>
        <v>44012</v>
      </c>
      <c r="M6" s="984"/>
      <c r="N6" s="984"/>
      <c r="O6" s="80"/>
      <c r="P6" s="32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1" customHeight="1">
      <c r="A8" s="124" t="s">
        <v>59</v>
      </c>
      <c r="B8" s="90"/>
      <c r="C8" s="90"/>
      <c r="D8" s="1020" t="str">
        <f>'P1 Info &amp; Certification'!E12</f>
        <v>COMMUNITY HEALTH CENTER, INC.</v>
      </c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1"/>
    </row>
    <row r="9" spans="1:16" ht="8.25" customHeight="1" thickBot="1">
      <c r="A9" s="1022"/>
      <c r="B9" s="1023"/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4"/>
      <c r="P9" s="13"/>
    </row>
    <row r="10" spans="1:16" ht="1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248</v>
      </c>
      <c r="P10" s="13"/>
    </row>
    <row r="11" spans="1:16" ht="14.2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926" t="s">
        <v>175</v>
      </c>
      <c r="B12" s="927"/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8"/>
      <c r="P12" s="158"/>
    </row>
    <row r="13" spans="1:16" s="15" customFormat="1" ht="16.5" customHeight="1" thickBot="1">
      <c r="A13" s="184" t="s">
        <v>83</v>
      </c>
      <c r="B13" s="1045" t="s">
        <v>201</v>
      </c>
      <c r="C13" s="1018"/>
      <c r="D13" s="1018"/>
      <c r="E13" s="1018"/>
      <c r="F13" s="1018"/>
      <c r="G13" s="1018"/>
      <c r="H13" s="1018"/>
      <c r="I13" s="1018"/>
      <c r="J13" s="1018"/>
      <c r="K13" s="1019"/>
      <c r="L13" s="1050"/>
      <c r="M13" s="1050"/>
      <c r="N13" s="1014"/>
      <c r="O13" s="1044"/>
      <c r="P13" s="158"/>
    </row>
    <row r="14" spans="1:16" ht="21.75" customHeight="1">
      <c r="A14" s="187"/>
      <c r="B14" s="163" t="s">
        <v>49</v>
      </c>
      <c r="C14" s="930" t="s">
        <v>176</v>
      </c>
      <c r="D14" s="930"/>
      <c r="E14" s="930"/>
      <c r="F14" s="930"/>
      <c r="G14" s="930"/>
      <c r="H14" s="930"/>
      <c r="I14" s="930"/>
      <c r="J14" s="930"/>
      <c r="K14" s="930"/>
      <c r="L14" s="1013"/>
      <c r="M14" s="1013"/>
      <c r="N14" s="1048"/>
      <c r="O14" s="1049"/>
      <c r="P14" s="13"/>
    </row>
    <row r="15" spans="1:16" ht="21.75" customHeight="1">
      <c r="A15" s="177"/>
      <c r="B15" s="163" t="s">
        <v>50</v>
      </c>
      <c r="C15" s="930" t="s">
        <v>177</v>
      </c>
      <c r="D15" s="930"/>
      <c r="E15" s="930"/>
      <c r="F15" s="930"/>
      <c r="G15" s="930"/>
      <c r="H15" s="930"/>
      <c r="I15" s="930"/>
      <c r="J15" s="930"/>
      <c r="K15" s="930"/>
      <c r="L15" s="1013"/>
      <c r="M15" s="1013"/>
      <c r="N15" s="1048"/>
      <c r="O15" s="1049"/>
      <c r="P15" s="13"/>
    </row>
    <row r="16" spans="1:16" ht="21.75" customHeight="1">
      <c r="A16" s="177"/>
      <c r="B16" s="163" t="s">
        <v>82</v>
      </c>
      <c r="C16" s="930" t="s">
        <v>178</v>
      </c>
      <c r="D16" s="930"/>
      <c r="E16" s="930"/>
      <c r="F16" s="930"/>
      <c r="G16" s="930"/>
      <c r="H16" s="930"/>
      <c r="I16" s="930"/>
      <c r="J16" s="930"/>
      <c r="K16" s="176"/>
      <c r="L16" s="1013"/>
      <c r="M16" s="1013"/>
      <c r="N16" s="1048"/>
      <c r="O16" s="1049"/>
      <c r="P16" s="13"/>
    </row>
    <row r="17" spans="1:16" ht="21.75" customHeight="1">
      <c r="A17" s="177"/>
      <c r="B17" s="163" t="s">
        <v>51</v>
      </c>
      <c r="C17" s="930" t="s">
        <v>249</v>
      </c>
      <c r="D17" s="930"/>
      <c r="E17" s="930"/>
      <c r="F17" s="930"/>
      <c r="G17" s="930"/>
      <c r="H17" s="930"/>
      <c r="I17" s="930"/>
      <c r="J17" s="930"/>
      <c r="K17" s="176"/>
      <c r="L17" s="1013"/>
      <c r="M17" s="1013"/>
      <c r="N17" s="1048"/>
      <c r="O17" s="1049"/>
      <c r="P17" s="13"/>
    </row>
    <row r="18" spans="1:16" ht="21.75" customHeight="1">
      <c r="A18" s="177"/>
      <c r="B18" s="163" t="s">
        <v>156</v>
      </c>
      <c r="C18" s="930" t="s">
        <v>184</v>
      </c>
      <c r="D18" s="930"/>
      <c r="E18" s="930"/>
      <c r="F18" s="930"/>
      <c r="G18" s="930"/>
      <c r="H18" s="930"/>
      <c r="I18" s="930"/>
      <c r="J18" s="930"/>
      <c r="K18" s="176"/>
      <c r="L18" s="1013"/>
      <c r="M18" s="1013"/>
      <c r="N18" s="1048"/>
      <c r="O18" s="1049"/>
      <c r="P18" s="13"/>
    </row>
    <row r="19" spans="1:16" ht="21.75" customHeight="1">
      <c r="A19" s="177"/>
      <c r="B19" s="163" t="s">
        <v>55</v>
      </c>
      <c r="C19" s="930" t="s">
        <v>185</v>
      </c>
      <c r="D19" s="930"/>
      <c r="E19" s="930"/>
      <c r="F19" s="930"/>
      <c r="G19" s="930"/>
      <c r="H19" s="930"/>
      <c r="I19" s="930"/>
      <c r="J19" s="930"/>
      <c r="K19" s="176"/>
      <c r="L19" s="1013"/>
      <c r="M19" s="1013"/>
      <c r="N19" s="507"/>
      <c r="O19" s="508"/>
      <c r="P19" s="13"/>
    </row>
    <row r="20" spans="1:16" ht="51.75" customHeight="1">
      <c r="A20" s="177"/>
      <c r="B20" s="188" t="s">
        <v>56</v>
      </c>
      <c r="C20" s="930" t="s">
        <v>186</v>
      </c>
      <c r="D20" s="930"/>
      <c r="E20" s="930"/>
      <c r="F20" s="930"/>
      <c r="G20" s="930"/>
      <c r="H20" s="930"/>
      <c r="I20" s="930"/>
      <c r="J20" s="930"/>
      <c r="K20" s="176"/>
      <c r="L20" s="1013"/>
      <c r="M20" s="1013"/>
      <c r="N20" s="507"/>
      <c r="O20" s="508"/>
      <c r="P20" s="13"/>
    </row>
    <row r="21" spans="1:16" ht="21.75" customHeight="1">
      <c r="A21" s="177"/>
      <c r="B21" s="163" t="s">
        <v>161</v>
      </c>
      <c r="C21" s="930" t="s">
        <v>187</v>
      </c>
      <c r="D21" s="930"/>
      <c r="E21" s="930"/>
      <c r="F21" s="930"/>
      <c r="G21" s="930"/>
      <c r="H21" s="930"/>
      <c r="I21" s="930"/>
      <c r="J21" s="930"/>
      <c r="K21" s="176"/>
      <c r="L21" s="1013"/>
      <c r="M21" s="1013"/>
      <c r="N21" s="507"/>
      <c r="O21" s="508"/>
      <c r="P21" s="13"/>
    </row>
    <row r="22" spans="1:16" ht="21.75" customHeight="1">
      <c r="A22" s="177"/>
      <c r="B22" s="163" t="s">
        <v>162</v>
      </c>
      <c r="C22" s="930" t="s">
        <v>188</v>
      </c>
      <c r="D22" s="930"/>
      <c r="E22" s="930"/>
      <c r="F22" s="930"/>
      <c r="G22" s="930"/>
      <c r="H22" s="930"/>
      <c r="I22" s="930"/>
      <c r="J22" s="930"/>
      <c r="K22" s="176"/>
      <c r="L22" s="1013"/>
      <c r="M22" s="1013"/>
      <c r="N22" s="507"/>
      <c r="O22" s="508"/>
      <c r="P22" s="13"/>
    </row>
    <row r="23" spans="1:16" ht="21.75" customHeight="1">
      <c r="A23" s="177"/>
      <c r="B23" s="163" t="s">
        <v>163</v>
      </c>
      <c r="C23" s="930" t="s">
        <v>189</v>
      </c>
      <c r="D23" s="930"/>
      <c r="E23" s="930"/>
      <c r="F23" s="930"/>
      <c r="G23" s="930"/>
      <c r="H23" s="930"/>
      <c r="I23" s="930"/>
      <c r="J23" s="930"/>
      <c r="K23" s="176"/>
      <c r="L23" s="1013"/>
      <c r="M23" s="1013"/>
      <c r="N23" s="507"/>
      <c r="O23" s="508"/>
      <c r="P23" s="13"/>
    </row>
    <row r="24" spans="1:16" ht="21.75" customHeight="1">
      <c r="A24" s="177"/>
      <c r="B24" s="163" t="s">
        <v>164</v>
      </c>
      <c r="C24" s="930" t="s">
        <v>165</v>
      </c>
      <c r="D24" s="930"/>
      <c r="E24" s="930"/>
      <c r="F24" s="930"/>
      <c r="G24" s="930"/>
      <c r="H24" s="930"/>
      <c r="I24" s="930"/>
      <c r="J24" s="930"/>
      <c r="K24" s="176"/>
      <c r="L24" s="1013"/>
      <c r="M24" s="1013"/>
      <c r="N24" s="507"/>
      <c r="O24" s="508"/>
      <c r="P24" s="13"/>
    </row>
    <row r="25" spans="1:16" ht="21.75" customHeight="1">
      <c r="A25" s="177"/>
      <c r="B25" s="163" t="s">
        <v>179</v>
      </c>
      <c r="C25" s="930" t="s">
        <v>190</v>
      </c>
      <c r="D25" s="930"/>
      <c r="E25" s="930"/>
      <c r="F25" s="930"/>
      <c r="G25" s="930"/>
      <c r="H25" s="930"/>
      <c r="I25" s="930"/>
      <c r="J25" s="930"/>
      <c r="K25" s="176"/>
      <c r="L25" s="1013"/>
      <c r="M25" s="1013"/>
      <c r="N25" s="507"/>
      <c r="O25" s="508"/>
      <c r="P25" s="13"/>
    </row>
    <row r="26" spans="1:16" ht="21.75" customHeight="1">
      <c r="A26" s="177"/>
      <c r="B26" s="163" t="s">
        <v>180</v>
      </c>
      <c r="C26" s="930" t="s">
        <v>191</v>
      </c>
      <c r="D26" s="930"/>
      <c r="E26" s="930"/>
      <c r="F26" s="930"/>
      <c r="G26" s="930"/>
      <c r="H26" s="930"/>
      <c r="I26" s="930"/>
      <c r="J26" s="930"/>
      <c r="K26" s="176"/>
      <c r="L26" s="1013"/>
      <c r="M26" s="1013"/>
      <c r="N26" s="507"/>
      <c r="O26" s="508"/>
      <c r="P26" s="13"/>
    </row>
    <row r="27" spans="1:16" ht="21.75" customHeight="1">
      <c r="A27" s="177"/>
      <c r="B27" s="163" t="s">
        <v>181</v>
      </c>
      <c r="C27" s="930" t="s">
        <v>167</v>
      </c>
      <c r="D27" s="930"/>
      <c r="E27" s="930"/>
      <c r="F27" s="930"/>
      <c r="G27" s="930"/>
      <c r="H27" s="930"/>
      <c r="I27" s="930"/>
      <c r="J27" s="930"/>
      <c r="K27" s="176"/>
      <c r="L27" s="1013"/>
      <c r="M27" s="1013"/>
      <c r="N27" s="507"/>
      <c r="O27" s="508"/>
      <c r="P27" s="13"/>
    </row>
    <row r="28" spans="1:16" ht="21.75" customHeight="1">
      <c r="A28" s="177"/>
      <c r="B28" s="163" t="s">
        <v>182</v>
      </c>
      <c r="C28" s="930" t="s">
        <v>192</v>
      </c>
      <c r="D28" s="930"/>
      <c r="E28" s="930"/>
      <c r="F28" s="930"/>
      <c r="G28" s="930"/>
      <c r="H28" s="930"/>
      <c r="I28" s="930"/>
      <c r="J28" s="930"/>
      <c r="K28" s="176"/>
      <c r="L28" s="1013"/>
      <c r="M28" s="1013"/>
      <c r="N28" s="507"/>
      <c r="O28" s="508"/>
      <c r="P28" s="13"/>
    </row>
    <row r="29" spans="1:22" ht="21.75" customHeight="1">
      <c r="A29" s="177"/>
      <c r="B29" s="163" t="s">
        <v>183</v>
      </c>
      <c r="C29" s="930" t="s">
        <v>193</v>
      </c>
      <c r="D29" s="930"/>
      <c r="E29" s="930"/>
      <c r="F29" s="930"/>
      <c r="G29" s="930"/>
      <c r="H29" s="930"/>
      <c r="I29" s="930"/>
      <c r="J29" s="930"/>
      <c r="K29" s="457"/>
      <c r="L29" s="1014"/>
      <c r="M29" s="1014"/>
      <c r="N29" s="1042">
        <f>SUM(L14:M28)</f>
        <v>0</v>
      </c>
      <c r="O29" s="1043"/>
      <c r="P29" s="13"/>
      <c r="T29" s="938"/>
      <c r="U29" s="938"/>
      <c r="V29" s="938"/>
    </row>
    <row r="30" spans="1:16" ht="6" customHeight="1" thickBot="1">
      <c r="A30" s="177"/>
      <c r="B30" s="457"/>
      <c r="C30" s="185"/>
      <c r="D30" s="185"/>
      <c r="E30" s="185"/>
      <c r="F30" s="185"/>
      <c r="G30" s="185"/>
      <c r="H30" s="185"/>
      <c r="I30" s="185"/>
      <c r="J30" s="185"/>
      <c r="K30" s="185"/>
      <c r="L30" s="1014"/>
      <c r="M30" s="1014"/>
      <c r="N30" s="1014"/>
      <c r="O30" s="1044"/>
      <c r="P30" s="13"/>
    </row>
    <row r="31" spans="1:16" ht="18" customHeight="1" thickBot="1">
      <c r="A31" s="175" t="s">
        <v>84</v>
      </c>
      <c r="B31" s="1045" t="s">
        <v>250</v>
      </c>
      <c r="C31" s="1018"/>
      <c r="D31" s="1018"/>
      <c r="E31" s="1018"/>
      <c r="F31" s="1018"/>
      <c r="G31" s="1018"/>
      <c r="H31" s="1018"/>
      <c r="I31" s="1018"/>
      <c r="J31" s="1018"/>
      <c r="K31" s="1019"/>
      <c r="L31" s="1014"/>
      <c r="M31" s="1014"/>
      <c r="N31" s="1014"/>
      <c r="O31" s="1044"/>
      <c r="P31" s="13"/>
    </row>
    <row r="32" spans="1:16" ht="18" customHeight="1">
      <c r="A32" s="177"/>
      <c r="B32" s="163" t="s">
        <v>49</v>
      </c>
      <c r="C32" s="930" t="s">
        <v>194</v>
      </c>
      <c r="D32" s="930"/>
      <c r="E32" s="930"/>
      <c r="F32" s="930"/>
      <c r="G32" s="930"/>
      <c r="H32" s="930"/>
      <c r="I32" s="930"/>
      <c r="J32" s="930"/>
      <c r="K32" s="186"/>
      <c r="L32" s="1013"/>
      <c r="M32" s="1013"/>
      <c r="N32" s="1046"/>
      <c r="O32" s="1047"/>
      <c r="P32" s="13"/>
    </row>
    <row r="33" spans="1:16" ht="18" customHeight="1">
      <c r="A33" s="178"/>
      <c r="B33" s="163" t="s">
        <v>50</v>
      </c>
      <c r="C33" s="930" t="s">
        <v>195</v>
      </c>
      <c r="D33" s="930"/>
      <c r="E33" s="930"/>
      <c r="F33" s="930"/>
      <c r="G33" s="930"/>
      <c r="H33" s="930"/>
      <c r="I33" s="930"/>
      <c r="J33" s="930"/>
      <c r="K33" s="176"/>
      <c r="L33" s="1013"/>
      <c r="M33" s="1013"/>
      <c r="N33" s="1040"/>
      <c r="O33" s="1041"/>
      <c r="P33" s="13"/>
    </row>
    <row r="34" spans="1:16" ht="18" customHeight="1">
      <c r="A34" s="506"/>
      <c r="B34" s="163" t="s">
        <v>82</v>
      </c>
      <c r="C34" s="930" t="s">
        <v>196</v>
      </c>
      <c r="D34" s="930"/>
      <c r="E34" s="930"/>
      <c r="F34" s="930"/>
      <c r="G34" s="930"/>
      <c r="H34" s="930"/>
      <c r="I34" s="930"/>
      <c r="J34" s="930"/>
      <c r="K34" s="176"/>
      <c r="L34" s="1013"/>
      <c r="M34" s="1013"/>
      <c r="N34" s="1040"/>
      <c r="O34" s="1041"/>
      <c r="P34" s="13"/>
    </row>
    <row r="35" spans="1:16" ht="18" customHeight="1">
      <c r="A35" s="180"/>
      <c r="B35" s="163" t="s">
        <v>51</v>
      </c>
      <c r="C35" s="930" t="s">
        <v>197</v>
      </c>
      <c r="D35" s="930"/>
      <c r="E35" s="930"/>
      <c r="F35" s="930"/>
      <c r="G35" s="930"/>
      <c r="H35" s="930"/>
      <c r="I35" s="930"/>
      <c r="J35" s="930"/>
      <c r="K35" s="176"/>
      <c r="L35" s="1013"/>
      <c r="M35" s="1013"/>
      <c r="N35" s="1040"/>
      <c r="O35" s="1041"/>
      <c r="P35" s="13"/>
    </row>
    <row r="36" spans="1:16" s="166" customFormat="1" ht="19.5" customHeight="1">
      <c r="A36" s="177"/>
      <c r="B36" s="163" t="s">
        <v>156</v>
      </c>
      <c r="C36" s="930" t="s">
        <v>198</v>
      </c>
      <c r="D36" s="930"/>
      <c r="E36" s="930"/>
      <c r="F36" s="930"/>
      <c r="G36" s="930"/>
      <c r="H36" s="930"/>
      <c r="I36" s="930"/>
      <c r="J36" s="930"/>
      <c r="K36" s="176"/>
      <c r="L36" s="1013"/>
      <c r="M36" s="1013"/>
      <c r="N36" s="1040"/>
      <c r="O36" s="1041"/>
      <c r="P36" s="165"/>
    </row>
    <row r="37" spans="1:16" s="168" customFormat="1" ht="17.25" customHeight="1">
      <c r="A37" s="177"/>
      <c r="B37" s="163" t="s">
        <v>55</v>
      </c>
      <c r="C37" s="930" t="s">
        <v>199</v>
      </c>
      <c r="D37" s="930"/>
      <c r="E37" s="930"/>
      <c r="F37" s="930"/>
      <c r="G37" s="930"/>
      <c r="H37" s="930"/>
      <c r="I37" s="930"/>
      <c r="J37" s="930"/>
      <c r="K37" s="176"/>
      <c r="L37" s="1015"/>
      <c r="M37" s="1016"/>
      <c r="N37" s="1038"/>
      <c r="O37" s="1039"/>
      <c r="P37" s="167"/>
    </row>
    <row r="38" spans="1:16" s="168" customFormat="1" ht="21" customHeight="1">
      <c r="A38" s="177"/>
      <c r="B38" s="163" t="s">
        <v>56</v>
      </c>
      <c r="C38" s="930" t="s">
        <v>160</v>
      </c>
      <c r="D38" s="930"/>
      <c r="E38" s="930"/>
      <c r="F38" s="930"/>
      <c r="G38" s="930"/>
      <c r="H38" s="930"/>
      <c r="I38" s="930"/>
      <c r="J38" s="930"/>
      <c r="K38" s="457"/>
      <c r="L38" s="1014"/>
      <c r="M38" s="1014"/>
      <c r="N38" s="1036">
        <f>SUM(L32:M37)</f>
        <v>0</v>
      </c>
      <c r="O38" s="1037"/>
      <c r="P38" s="167"/>
    </row>
    <row r="39" spans="1:15" ht="9" customHeight="1" thickBot="1">
      <c r="A39" s="8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61"/>
      <c r="O39" s="362"/>
    </row>
    <row r="40" spans="1:15" ht="31.5" customHeight="1" thickBot="1">
      <c r="A40" s="175" t="s">
        <v>91</v>
      </c>
      <c r="B40" s="1032" t="s">
        <v>200</v>
      </c>
      <c r="C40" s="1033"/>
      <c r="D40" s="1033"/>
      <c r="E40" s="1033"/>
      <c r="F40" s="1033"/>
      <c r="G40" s="1033"/>
      <c r="H40" s="1033"/>
      <c r="I40" s="1033"/>
      <c r="J40" s="1033"/>
      <c r="K40" s="1034"/>
      <c r="L40" s="182"/>
      <c r="M40" s="182"/>
      <c r="N40" s="1007">
        <f>N29+N38</f>
        <v>0</v>
      </c>
      <c r="O40" s="1035"/>
    </row>
    <row r="41" spans="1:15" ht="13.5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5" ht="13.5" thickBo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</sheetData>
  <sheetProtection password="E1AE" sheet="1"/>
  <mergeCells count="79">
    <mergeCell ref="A1:O1"/>
    <mergeCell ref="A2:O2"/>
    <mergeCell ref="A3:O3"/>
    <mergeCell ref="A4:O4"/>
    <mergeCell ref="E6:G6"/>
    <mergeCell ref="L6:N6"/>
    <mergeCell ref="D8:O8"/>
    <mergeCell ref="A9:O9"/>
    <mergeCell ref="A12:O12"/>
    <mergeCell ref="L13:M13"/>
    <mergeCell ref="N13:O13"/>
    <mergeCell ref="B13:K13"/>
    <mergeCell ref="C14:K14"/>
    <mergeCell ref="L14:M14"/>
    <mergeCell ref="N14:O14"/>
    <mergeCell ref="C15:K15"/>
    <mergeCell ref="L15:M15"/>
    <mergeCell ref="N15:O15"/>
    <mergeCell ref="L18:M18"/>
    <mergeCell ref="N18:O18"/>
    <mergeCell ref="C18:J18"/>
    <mergeCell ref="C32:J32"/>
    <mergeCell ref="L16:M16"/>
    <mergeCell ref="N16:O16"/>
    <mergeCell ref="L17:M17"/>
    <mergeCell ref="N17:O17"/>
    <mergeCell ref="C16:J16"/>
    <mergeCell ref="C17:J17"/>
    <mergeCell ref="T29:V29"/>
    <mergeCell ref="L30:M30"/>
    <mergeCell ref="N30:O30"/>
    <mergeCell ref="C29:J29"/>
    <mergeCell ref="B31:K31"/>
    <mergeCell ref="C33:J33"/>
    <mergeCell ref="N31:O31"/>
    <mergeCell ref="L32:M32"/>
    <mergeCell ref="N32:O32"/>
    <mergeCell ref="L33:M33"/>
    <mergeCell ref="C25:J25"/>
    <mergeCell ref="L25:M25"/>
    <mergeCell ref="L28:M28"/>
    <mergeCell ref="L29:M29"/>
    <mergeCell ref="N29:O29"/>
    <mergeCell ref="C28:J28"/>
    <mergeCell ref="N33:O33"/>
    <mergeCell ref="L34:M34"/>
    <mergeCell ref="N34:O34"/>
    <mergeCell ref="C26:J26"/>
    <mergeCell ref="C27:J27"/>
    <mergeCell ref="L26:M26"/>
    <mergeCell ref="L27:M27"/>
    <mergeCell ref="L31:M31"/>
    <mergeCell ref="C34:J34"/>
    <mergeCell ref="N37:O37"/>
    <mergeCell ref="C38:J38"/>
    <mergeCell ref="L35:M35"/>
    <mergeCell ref="N35:O35"/>
    <mergeCell ref="L36:M36"/>
    <mergeCell ref="N36:O36"/>
    <mergeCell ref="C21:J21"/>
    <mergeCell ref="C22:J22"/>
    <mergeCell ref="C23:J23"/>
    <mergeCell ref="C24:J24"/>
    <mergeCell ref="L38:M38"/>
    <mergeCell ref="N38:O38"/>
    <mergeCell ref="C35:J35"/>
    <mergeCell ref="C36:J36"/>
    <mergeCell ref="C37:J37"/>
    <mergeCell ref="L37:M37"/>
    <mergeCell ref="B40:K40"/>
    <mergeCell ref="N40:O40"/>
    <mergeCell ref="L19:M19"/>
    <mergeCell ref="L20:M20"/>
    <mergeCell ref="L21:M21"/>
    <mergeCell ref="L22:M22"/>
    <mergeCell ref="L23:M23"/>
    <mergeCell ref="L24:M24"/>
    <mergeCell ref="C19:J19"/>
    <mergeCell ref="C20:J20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>&amp;LDSS-16 10-24-2016&amp;RPage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6">
      <selection activeCell="G8" sqref="G8"/>
    </sheetView>
  </sheetViews>
  <sheetFormatPr defaultColWidth="9.140625" defaultRowHeight="12.75"/>
  <cols>
    <col min="2" max="2" width="37.57421875" style="0" customWidth="1"/>
    <col min="3" max="3" width="36.7109375" style="0" customWidth="1"/>
    <col min="6" max="6" width="3.8515625" style="0" customWidth="1"/>
    <col min="7" max="7" width="20.421875" style="0" customWidth="1"/>
    <col min="8" max="8" width="5.8515625" style="0" customWidth="1"/>
    <col min="11" max="11" width="15.140625" style="0" customWidth="1"/>
  </cols>
  <sheetData>
    <row r="2" ht="15">
      <c r="B2" s="636" t="s">
        <v>591</v>
      </c>
    </row>
    <row r="4" spans="2:7" ht="15.75" thickBot="1">
      <c r="B4" s="276" t="s">
        <v>59</v>
      </c>
      <c r="C4" s="276" t="s">
        <v>588</v>
      </c>
      <c r="D4" s="634"/>
      <c r="E4" s="634"/>
      <c r="F4" s="634"/>
      <c r="G4" s="634"/>
    </row>
    <row r="5" spans="4:15" ht="21" thickBot="1">
      <c r="D5" s="276"/>
      <c r="E5" s="623"/>
      <c r="F5" s="623"/>
      <c r="G5" s="623"/>
      <c r="I5" s="624"/>
      <c r="J5" s="624"/>
      <c r="K5" s="624"/>
      <c r="L5" s="624"/>
      <c r="M5" s="624"/>
      <c r="N5" s="624"/>
      <c r="O5" s="624"/>
    </row>
    <row r="6" spans="2:15" ht="9" customHeight="1">
      <c r="B6" s="628"/>
      <c r="C6" s="629"/>
      <c r="D6" s="630"/>
      <c r="E6" s="631"/>
      <c r="F6" s="631"/>
      <c r="G6" s="632"/>
      <c r="H6" s="624"/>
      <c r="I6" s="624"/>
      <c r="J6" s="624"/>
      <c r="K6" s="624"/>
      <c r="L6" s="624"/>
      <c r="M6" s="624"/>
      <c r="N6" s="624"/>
      <c r="O6" s="624"/>
    </row>
    <row r="7" spans="2:7" ht="39" thickBot="1">
      <c r="B7" s="633" t="s">
        <v>32</v>
      </c>
      <c r="C7" s="626" t="s">
        <v>58</v>
      </c>
      <c r="D7" s="626"/>
      <c r="E7" s="627" t="s">
        <v>589</v>
      </c>
      <c r="F7" s="634"/>
      <c r="G7" s="635" t="s">
        <v>57</v>
      </c>
    </row>
    <row r="8" spans="2:7" ht="12">
      <c r="B8" t="s">
        <v>369</v>
      </c>
      <c r="C8" t="str">
        <f>'P2 Service Sites &amp; Rel. Parties'!F12</f>
        <v>675 Main Street, Middletown CT 06457</v>
      </c>
      <c r="E8" s="596" t="str">
        <f>'P2 Service Sites &amp; Rel. Parties'!K12</f>
        <v>Yes</v>
      </c>
      <c r="G8" s="596" t="str">
        <f>'P2 Service Sites &amp; Rel. Parties'!N12</f>
        <v>1164463840</v>
      </c>
    </row>
    <row r="9" spans="2:7" ht="12">
      <c r="B9" t="s">
        <v>369</v>
      </c>
      <c r="C9" t="str">
        <f>'P2 Service Sites &amp; Rel. Parties'!F13</f>
        <v>One Shaw's Cove, New London CT 06320</v>
      </c>
      <c r="E9" s="596" t="str">
        <f>'P2 Service Sites &amp; Rel. Parties'!K13</f>
        <v>Yes</v>
      </c>
      <c r="G9" s="596" t="str">
        <f>'P2 Service Sites &amp; Rel. Parties'!N13</f>
        <v>1982889309</v>
      </c>
    </row>
    <row r="10" spans="2:7" ht="12">
      <c r="B10" t="s">
        <v>369</v>
      </c>
      <c r="C10" t="str">
        <f>'P2 Service Sites &amp; Rel. Parties'!F14</f>
        <v>85 Lafayette Street, New Britain CT 06051</v>
      </c>
      <c r="E10" s="596" t="str">
        <f>'P2 Service Sites &amp; Rel. Parties'!K14</f>
        <v>Yes</v>
      </c>
      <c r="G10" s="596" t="str">
        <f>'P2 Service Sites &amp; Rel. Parties'!N14</f>
        <v>1912182338</v>
      </c>
    </row>
    <row r="11" spans="2:7" ht="12">
      <c r="B11" t="s">
        <v>369</v>
      </c>
      <c r="C11" t="str">
        <f>'P2 Service Sites &amp; Rel. Parties'!F15</f>
        <v>134 State Street, Meriden CT 06450</v>
      </c>
      <c r="E11" s="596" t="str">
        <f>'P2 Service Sites &amp; Rel. Parties'!K15</f>
        <v>Yes</v>
      </c>
      <c r="G11" s="596" t="str">
        <f>'P2 Service Sites &amp; Rel. Parties'!N15</f>
        <v>1720263148</v>
      </c>
    </row>
    <row r="12" spans="2:7" ht="12">
      <c r="B12" t="s">
        <v>369</v>
      </c>
      <c r="C12" t="str">
        <f>'P2 Service Sites &amp; Rel. Parties'!F16</f>
        <v>114 East Main Street, Clinton CT 06413</v>
      </c>
      <c r="E12" s="596" t="str">
        <f>'P2 Service Sites &amp; Rel. Parties'!K16</f>
        <v>Yes</v>
      </c>
      <c r="G12" s="596" t="str">
        <f>'P2 Service Sites &amp; Rel. Parties'!N16</f>
        <v>144735862</v>
      </c>
    </row>
    <row r="13" spans="2:7" ht="12">
      <c r="B13" t="s">
        <v>369</v>
      </c>
      <c r="C13" t="str">
        <f>'P2 Service Sites &amp; Rel. Parties'!F17</f>
        <v>49 Day Street, Norwalk CT 06854</v>
      </c>
      <c r="E13" s="596" t="str">
        <f>'P2 Service Sites &amp; Rel. Parties'!K17</f>
        <v>Yes</v>
      </c>
      <c r="G13" s="596" t="str">
        <f>'P2 Service Sites &amp; Rel. Parties'!N17</f>
        <v>1972788321</v>
      </c>
    </row>
    <row r="14" spans="2:7" ht="12">
      <c r="B14" t="s">
        <v>369</v>
      </c>
      <c r="C14" t="str">
        <f>'P2 Service Sites &amp; Rel. Parties'!F18</f>
        <v>481 Gold Star Hwy, Groton CT 06340</v>
      </c>
      <c r="E14" s="596" t="str">
        <f>'P2 Service Sites &amp; Rel. Parties'!K18</f>
        <v>Yes</v>
      </c>
      <c r="G14" s="596" t="str">
        <f>'P2 Service Sites &amp; Rel. Parties'!N18</f>
        <v>147334851</v>
      </c>
    </row>
    <row r="15" spans="2:7" ht="12">
      <c r="B15" t="s">
        <v>369</v>
      </c>
      <c r="C15" t="str">
        <f>'P2 Service Sites &amp; Rel. Parties'!F19</f>
        <v>8 Delay Street, Danbury CT 06810</v>
      </c>
      <c r="E15" s="596" t="str">
        <f>'P2 Service Sites &amp; Rel. Parties'!K19</f>
        <v>Yes</v>
      </c>
      <c r="G15" s="596" t="str">
        <f>'P2 Service Sites &amp; Rel. Parties'!N19</f>
        <v>1518139500</v>
      </c>
    </row>
    <row r="16" spans="2:7" ht="12">
      <c r="B16" t="s">
        <v>369</v>
      </c>
      <c r="C16" t="str">
        <f>'P2 Service Sites &amp; Rel. Parties'!F20</f>
        <v>5 N. Main Street, Enfield CT 06082</v>
      </c>
      <c r="E16" s="596" t="str">
        <f>'P2 Service Sites &amp; Rel. Parties'!K20</f>
        <v>Yes</v>
      </c>
      <c r="G16" s="596" t="str">
        <f>'P2 Service Sites &amp; Rel. Parties'!N20</f>
        <v>1679761027</v>
      </c>
    </row>
    <row r="17" spans="2:7" ht="12">
      <c r="B17" t="s">
        <v>369</v>
      </c>
      <c r="C17" t="str">
        <f>'P2 Service Sites &amp; Rel. Parties'!F21</f>
        <v>141 Franklin Street, Stamford CT 06901</v>
      </c>
      <c r="E17" s="596" t="str">
        <f>'P2 Service Sites &amp; Rel. Parties'!K21</f>
        <v>Yes</v>
      </c>
      <c r="G17" s="596" t="str">
        <f>'P2 Service Sites &amp; Rel. Parties'!N21</f>
        <v>1730311143</v>
      </c>
    </row>
    <row r="18" spans="2:7" ht="12">
      <c r="B18" t="s">
        <v>369</v>
      </c>
      <c r="C18" t="str">
        <f>'P2 Service Sites &amp; Rel. Parties'!F22</f>
        <v>59 North Main Street, Bristol CT 06010</v>
      </c>
      <c r="E18" s="596" t="str">
        <f>'P2 Service Sites &amp; Rel. Parties'!K22</f>
        <v>Yes</v>
      </c>
      <c r="G18" s="596" t="str">
        <f>'P2 Service Sites &amp; Rel. Parties'!N22</f>
        <v>1356676514</v>
      </c>
    </row>
    <row r="19" spans="2:7" ht="12">
      <c r="B19" t="s">
        <v>369</v>
      </c>
      <c r="C19" t="str">
        <f>'P2 Service Sites &amp; Rel. Parties'!F23</f>
        <v>51 North Elm Street, Waterbury CT 06702</v>
      </c>
      <c r="E19" s="596" t="str">
        <f>'P2 Service Sites &amp; Rel. Parties'!K23</f>
        <v>Yes</v>
      </c>
      <c r="G19" s="596" t="str">
        <f>'P2 Service Sites &amp; Rel. Parties'!N23</f>
        <v>1972866556</v>
      </c>
    </row>
    <row r="20" spans="2:7" ht="12">
      <c r="B20" t="s">
        <v>369</v>
      </c>
      <c r="C20" t="s">
        <v>590</v>
      </c>
      <c r="E20" s="596" t="str">
        <f>'P2 Service Sites &amp; Rel. Parties'!K24</f>
        <v>Yes</v>
      </c>
      <c r="G20" s="596">
        <v>1457822934</v>
      </c>
    </row>
    <row r="21" spans="2:7" ht="12">
      <c r="B21" t="str">
        <f>'P2 Service Sites &amp; Rel. Parties'!A31</f>
        <v>Community Health Center Inc.</v>
      </c>
      <c r="C21" t="str">
        <f>'P2 Service Sites &amp; Rel. Parties'!F31</f>
        <v>76 New Britain Avenue, Hartford, CT 06106</v>
      </c>
      <c r="E21" s="596" t="str">
        <f>'P2 Service Sites &amp; Rel. Parties'!K31</f>
        <v>Yes</v>
      </c>
      <c r="G21" s="596">
        <f>'P2 Service Sites &amp; Rel. Parties'!N31</f>
        <v>1093163883</v>
      </c>
    </row>
    <row r="22" spans="2:7" ht="24.75">
      <c r="B22" s="625" t="str">
        <f>'P2 Service Sites &amp; Rel. Parties'!A24</f>
        <v>Community Health Center Inc., W.Y.A. Masters Manna</v>
      </c>
      <c r="C22" t="str">
        <f>'P2 Service Sites &amp; Rel. Parties'!F24</f>
        <v>46 N. Plains Industrial Road, Wallingford CT 06492</v>
      </c>
      <c r="E22" s="596" t="str">
        <f>'P2 Service Sites &amp; Rel. Parties'!K24</f>
        <v>Yes</v>
      </c>
      <c r="G22" s="596" t="str">
        <f>'P2 Service Sites &amp; Rel. Parties'!N24</f>
        <v>1952591851</v>
      </c>
    </row>
    <row r="23" spans="2:7" ht="24.75">
      <c r="B23" s="625" t="str">
        <f>'P2 Service Sites &amp; Rel. Parties'!A25</f>
        <v>Community Health Center Inc., W.Y.A. Prudence Crandall</v>
      </c>
      <c r="C23" t="str">
        <f>'P2 Service Sites &amp; Rel. Parties'!F25</f>
        <v>594 Burritt Street, New Britain CT 06051</v>
      </c>
      <c r="E23" s="596" t="str">
        <f>'P2 Service Sites &amp; Rel. Parties'!K25</f>
        <v>Yes</v>
      </c>
      <c r="G23" s="596" t="str">
        <f>'P2 Service Sites &amp; Rel. Parties'!N25</f>
        <v>1952591851</v>
      </c>
    </row>
    <row r="24" spans="2:7" ht="24.75">
      <c r="B24" s="625" t="str">
        <f>'P2 Service Sites &amp; Rel. Parties'!A26</f>
        <v>Community Health Center Inc., W.Y.A. Shelter Now</v>
      </c>
      <c r="C24" t="str">
        <f>'P2 Service Sites &amp; Rel. Parties'!F26</f>
        <v>43 St. Casimir Drive, Meriden CT 06450</v>
      </c>
      <c r="E24" s="596" t="str">
        <f>'P2 Service Sites &amp; Rel. Parties'!K26</f>
        <v>Yes</v>
      </c>
      <c r="G24" s="596" t="str">
        <f>'P2 Service Sites &amp; Rel. Parties'!N26</f>
        <v>1952591851</v>
      </c>
    </row>
    <row r="25" spans="2:7" ht="24.75">
      <c r="B25" s="625" t="str">
        <f>'P2 Service Sites &amp; Rel. Parties'!A27</f>
        <v>Community Health Center Inc., W.Y.A. Friendship Center</v>
      </c>
      <c r="C25" t="str">
        <f>'P2 Service Sites &amp; Rel. Parties'!F27</f>
        <v>241 Arch Street, New Britain CT 06050</v>
      </c>
      <c r="E25" s="596" t="str">
        <f>'P2 Service Sites &amp; Rel. Parties'!K27</f>
        <v>Yes</v>
      </c>
      <c r="G25" s="596" t="str">
        <f>'P2 Service Sites &amp; Rel. Parties'!N27</f>
        <v>1952591851</v>
      </c>
    </row>
    <row r="26" spans="2:7" ht="24.75">
      <c r="B26" s="625" t="str">
        <f>'P2 Service Sites &amp; Rel. Parties'!A28</f>
        <v>Community Health Center Inc., W.Y.A. Eddy Shelter</v>
      </c>
      <c r="C26" t="str">
        <f>'P2 Service Sites &amp; Rel. Parties'!F28</f>
        <v>1 LaBella Circle, Middletown CT 06457</v>
      </c>
      <c r="E26" s="596" t="str">
        <f>'P2 Service Sites &amp; Rel. Parties'!K28</f>
        <v>Yes</v>
      </c>
      <c r="G26" s="596" t="str">
        <f>'P2 Service Sites &amp; Rel. Parties'!N28</f>
        <v>1952591851</v>
      </c>
    </row>
    <row r="27" spans="2:7" ht="24.75">
      <c r="B27" s="625" t="str">
        <f>'P2 Service Sites &amp; Rel. Parties'!A29</f>
        <v>Community Health Center Inc., W.Y.A. New London</v>
      </c>
      <c r="C27" t="str">
        <f>'P2 Service Sites &amp; Rel. Parties'!F29</f>
        <v>427 Huntington Avenue,  New London CT 06320</v>
      </c>
      <c r="E27" s="596" t="str">
        <f>'P2 Service Sites &amp; Rel. Parties'!K29</f>
        <v>Yes</v>
      </c>
      <c r="G27" s="596" t="str">
        <f>'P2 Service Sites &amp; Rel. Parties'!N29</f>
        <v>1548677982</v>
      </c>
    </row>
    <row r="28" spans="2:7" ht="24.75">
      <c r="B28" s="625" t="str">
        <f>'P2 Service Sites &amp; Rel. Parties'!A30</f>
        <v>Community Health Center Inc., W.Y.A. City of Danbury Emergency Shelter</v>
      </c>
      <c r="C28" t="str">
        <f>'P2 Service Sites &amp; Rel. Parties'!F30</f>
        <v>41 New Street, Danbury, CT 06810</v>
      </c>
      <c r="E28" s="596" t="str">
        <f>'P2 Service Sites &amp; Rel. Parties'!K30</f>
        <v>Yes</v>
      </c>
      <c r="G28" s="596" t="str">
        <f>'P2 Service Sites &amp; Rel. Parties'!N30</f>
        <v>1952591851</v>
      </c>
    </row>
    <row r="29" spans="2:7" ht="12">
      <c r="B29" t="s">
        <v>369</v>
      </c>
      <c r="C29" s="540" t="s">
        <v>733</v>
      </c>
      <c r="E29" s="596" t="str">
        <f>'P2 Service Sites &amp; Rel. Parties'!K31</f>
        <v>Yes</v>
      </c>
      <c r="G29" s="596">
        <v>1952591851</v>
      </c>
    </row>
    <row r="30" spans="2:7" ht="12">
      <c r="B30" t="s">
        <v>369</v>
      </c>
      <c r="C30" s="540" t="s">
        <v>734</v>
      </c>
      <c r="E30" s="640" t="s">
        <v>371</v>
      </c>
      <c r="G30" s="596">
        <v>1952591851</v>
      </c>
    </row>
    <row r="31" spans="2:7" ht="12">
      <c r="B31" t="s">
        <v>369</v>
      </c>
      <c r="C31" s="540" t="s">
        <v>735</v>
      </c>
      <c r="E31" s="640" t="s">
        <v>371</v>
      </c>
      <c r="G31" s="596">
        <v>1952591851</v>
      </c>
    </row>
  </sheetData>
  <sheetProtection/>
  <printOptions gridLines="1"/>
  <pageMargins left="0.7" right="0.7" top="0.75" bottom="0.75" header="0.3" footer="0.3"/>
  <pageSetup fitToHeight="1" fitToWidth="1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O605"/>
  <sheetViews>
    <sheetView zoomScalePageLayoutView="0" workbookViewId="0" topLeftCell="A1">
      <pane ySplit="2" topLeftCell="A44" activePane="bottomLeft" state="frozen"/>
      <selection pane="topLeft" activeCell="A1" sqref="A1"/>
      <selection pane="bottomLeft" activeCell="AL16" sqref="AL16"/>
    </sheetView>
  </sheetViews>
  <sheetFormatPr defaultColWidth="9.140625" defaultRowHeight="12.75"/>
  <cols>
    <col min="1" max="1" width="14.57421875" style="0" customWidth="1"/>
    <col min="2" max="2" width="26.8515625" style="0" customWidth="1"/>
    <col min="3" max="3" width="15.00390625" style="0" bestFit="1" customWidth="1"/>
    <col min="4" max="4" width="11.28125" style="713" customWidth="1"/>
    <col min="5" max="5" width="10.00390625" style="713" customWidth="1"/>
    <col min="6" max="6" width="35.140625" style="0" bestFit="1" customWidth="1"/>
    <col min="7" max="7" width="14.421875" style="0" bestFit="1" customWidth="1"/>
    <col min="8" max="8" width="2.28125" style="0" customWidth="1"/>
    <col min="9" max="9" width="35.140625" style="0" customWidth="1"/>
    <col min="10" max="10" width="12.7109375" style="0" bestFit="1" customWidth="1"/>
    <col min="11" max="11" width="3.140625" style="0" customWidth="1"/>
    <col min="12" max="12" width="25.00390625" style="0" customWidth="1"/>
    <col min="13" max="13" width="14.140625" style="0" bestFit="1" customWidth="1"/>
    <col min="14" max="14" width="3.00390625" style="0" customWidth="1"/>
    <col min="15" max="15" width="25.7109375" style="0" bestFit="1" customWidth="1"/>
    <col min="16" max="16" width="21.00390625" style="0" bestFit="1" customWidth="1"/>
    <col min="17" max="17" width="3.00390625" style="0" customWidth="1"/>
    <col min="18" max="18" width="35.421875" style="0" bestFit="1" customWidth="1"/>
    <col min="19" max="19" width="10.7109375" style="0" bestFit="1" customWidth="1"/>
    <col min="20" max="20" width="3.421875" style="0" customWidth="1"/>
    <col min="21" max="21" width="28.28125" style="0" customWidth="1"/>
    <col min="22" max="22" width="12.8515625" style="0" bestFit="1" customWidth="1"/>
    <col min="23" max="23" width="2.8515625" style="0" customWidth="1"/>
    <col min="24" max="24" width="16.140625" style="0" bestFit="1" customWidth="1"/>
    <col min="25" max="25" width="13.7109375" style="0" bestFit="1" customWidth="1"/>
    <col min="27" max="27" width="2.421875" style="0" customWidth="1"/>
    <col min="28" max="28" width="26.421875" style="596" customWidth="1"/>
    <col min="29" max="29" width="9.28125" style="0" bestFit="1" customWidth="1"/>
    <col min="30" max="30" width="14.140625" style="0" bestFit="1" customWidth="1"/>
    <col min="31" max="31" width="8.7109375" style="0" bestFit="1" customWidth="1"/>
    <col min="32" max="32" width="2.8515625" style="0" customWidth="1"/>
    <col min="33" max="33" width="5.57421875" style="0" customWidth="1"/>
    <col min="34" max="34" width="14.140625" style="0" customWidth="1"/>
    <col min="35" max="35" width="13.28125" style="0" customWidth="1"/>
    <col min="36" max="36" width="3.7109375" style="715" customWidth="1"/>
    <col min="37" max="37" width="16.140625" style="0" customWidth="1"/>
    <col min="38" max="40" width="13.28125" style="0" customWidth="1"/>
    <col min="41" max="41" width="5.7109375" style="0" customWidth="1"/>
    <col min="42" max="42" width="2.28125" style="0" customWidth="1"/>
    <col min="43" max="43" width="39.7109375" style="0" customWidth="1"/>
    <col min="44" max="44" width="15.7109375" style="0" bestFit="1" customWidth="1"/>
    <col min="45" max="45" width="14.7109375" style="0" bestFit="1" customWidth="1"/>
    <col min="46" max="46" width="3.00390625" style="0" customWidth="1"/>
    <col min="47" max="47" width="31.57421875" style="0" bestFit="1" customWidth="1"/>
    <col min="48" max="48" width="12.8515625" style="0" bestFit="1" customWidth="1"/>
    <col min="49" max="49" width="11.28125" style="0" bestFit="1" customWidth="1"/>
    <col min="50" max="50" width="2.8515625" style="0" customWidth="1"/>
    <col min="51" max="51" width="37.28125" style="0" customWidth="1"/>
    <col min="52" max="52" width="12.8515625" style="0" bestFit="1" customWidth="1"/>
    <col min="53" max="53" width="13.7109375" style="0" customWidth="1"/>
    <col min="54" max="54" width="4.57421875" style="0" customWidth="1"/>
    <col min="55" max="55" width="19.140625" style="0" bestFit="1" customWidth="1"/>
    <col min="56" max="56" width="12.8515625" style="566" bestFit="1" customWidth="1"/>
    <col min="57" max="57" width="12.8515625" style="566" customWidth="1"/>
    <col min="58" max="58" width="8.140625" style="0" customWidth="1"/>
    <col min="59" max="59" width="24.8515625" style="0" bestFit="1" customWidth="1"/>
    <col min="60" max="60" width="11.28125" style="0" bestFit="1" customWidth="1"/>
    <col min="61" max="61" width="10.28125" style="0" bestFit="1" customWidth="1"/>
    <col min="62" max="62" width="15.7109375" style="0" bestFit="1" customWidth="1"/>
    <col min="63" max="63" width="11.28125" style="0" bestFit="1" customWidth="1"/>
    <col min="64" max="64" width="12.28125" style="0" bestFit="1" customWidth="1"/>
  </cols>
  <sheetData>
    <row r="1" spans="1:59" s="538" customFormat="1" ht="14.25">
      <c r="A1" s="538" t="s">
        <v>618</v>
      </c>
      <c r="C1"/>
      <c r="D1" s="713"/>
      <c r="E1" s="713"/>
      <c r="F1" s="531" t="s">
        <v>413</v>
      </c>
      <c r="G1" s="641" t="s">
        <v>617</v>
      </c>
      <c r="H1"/>
      <c r="I1" s="531" t="s">
        <v>414</v>
      </c>
      <c r="J1" s="641" t="s">
        <v>616</v>
      </c>
      <c r="K1"/>
      <c r="L1" s="531" t="s">
        <v>415</v>
      </c>
      <c r="M1" t="s">
        <v>615</v>
      </c>
      <c r="N1"/>
      <c r="O1" s="531" t="s">
        <v>416</v>
      </c>
      <c r="P1" s="538" t="s">
        <v>614</v>
      </c>
      <c r="Q1"/>
      <c r="R1" s="531" t="s">
        <v>417</v>
      </c>
      <c r="S1" s="641" t="s">
        <v>613</v>
      </c>
      <c r="T1"/>
      <c r="U1" s="531" t="s">
        <v>418</v>
      </c>
      <c r="V1"/>
      <c r="W1"/>
      <c r="X1"/>
      <c r="Y1"/>
      <c r="Z1"/>
      <c r="AB1" s="570" t="s">
        <v>476</v>
      </c>
      <c r="AC1"/>
      <c r="AD1"/>
      <c r="AE1"/>
      <c r="AF1"/>
      <c r="AG1"/>
      <c r="AH1" s="531" t="s">
        <v>496</v>
      </c>
      <c r="AI1"/>
      <c r="AJ1" s="715"/>
      <c r="AK1" s="538" t="s">
        <v>543</v>
      </c>
      <c r="AL1"/>
      <c r="AM1"/>
      <c r="AN1"/>
      <c r="AO1"/>
      <c r="AQ1" s="583" t="s">
        <v>558</v>
      </c>
      <c r="AS1" s="720" t="s">
        <v>568</v>
      </c>
      <c r="AU1" s="583" t="s">
        <v>451</v>
      </c>
      <c r="AW1" s="721" t="s">
        <v>567</v>
      </c>
      <c r="AY1" s="583" t="s">
        <v>453</v>
      </c>
      <c r="AZ1" s="583"/>
      <c r="BA1" s="722" t="s">
        <v>569</v>
      </c>
      <c r="BC1" s="583" t="s">
        <v>492</v>
      </c>
      <c r="BD1" s="583"/>
      <c r="BE1" s="564"/>
      <c r="BG1" s="583" t="s">
        <v>152</v>
      </c>
    </row>
    <row r="2" spans="1:57" s="538" customFormat="1" ht="12.75">
      <c r="A2" s="583" t="s">
        <v>798</v>
      </c>
      <c r="B2" s="583"/>
      <c r="C2" s="574" t="s">
        <v>799</v>
      </c>
      <c r="D2" s="613" t="s">
        <v>800</v>
      </c>
      <c r="E2" s="713"/>
      <c r="F2" s="537" t="s">
        <v>419</v>
      </c>
      <c r="G2" s="642" t="s">
        <v>420</v>
      </c>
      <c r="H2"/>
      <c r="I2" s="537" t="s">
        <v>419</v>
      </c>
      <c r="J2" s="642" t="s">
        <v>421</v>
      </c>
      <c r="K2"/>
      <c r="L2" s="537" t="s">
        <v>419</v>
      </c>
      <c r="M2" s="583" t="s">
        <v>422</v>
      </c>
      <c r="N2"/>
      <c r="O2" s="537" t="s">
        <v>419</v>
      </c>
      <c r="P2" s="583" t="s">
        <v>495</v>
      </c>
      <c r="Q2"/>
      <c r="R2" s="537" t="s">
        <v>419</v>
      </c>
      <c r="S2" s="642" t="s">
        <v>423</v>
      </c>
      <c r="T2"/>
      <c r="U2" s="537" t="s">
        <v>419</v>
      </c>
      <c r="V2" s="583" t="s">
        <v>424</v>
      </c>
      <c r="W2"/>
      <c r="X2"/>
      <c r="Y2"/>
      <c r="Z2"/>
      <c r="AB2" s="601" t="s">
        <v>774</v>
      </c>
      <c r="AC2" s="583" t="s">
        <v>545</v>
      </c>
      <c r="AD2" s="583" t="s">
        <v>676</v>
      </c>
      <c r="AE2" s="583" t="s">
        <v>571</v>
      </c>
      <c r="AF2"/>
      <c r="AG2"/>
      <c r="AH2" s="597" t="s">
        <v>561</v>
      </c>
      <c r="AI2" s="647" t="s">
        <v>685</v>
      </c>
      <c r="AJ2" s="715"/>
      <c r="AK2" s="595"/>
      <c r="AL2"/>
      <c r="AM2"/>
      <c r="AN2"/>
      <c r="AO2"/>
      <c r="BD2" s="564"/>
      <c r="BE2" s="564"/>
    </row>
    <row r="3" spans="25:57" ht="14.25">
      <c r="Y3" s="532" t="s">
        <v>425</v>
      </c>
      <c r="Z3" s="532" t="s">
        <v>426</v>
      </c>
      <c r="AB3" s="533" t="s">
        <v>621</v>
      </c>
      <c r="AC3" s="541">
        <v>175.8125</v>
      </c>
      <c r="AD3" s="541">
        <v>527.4375</v>
      </c>
      <c r="AE3" s="563"/>
      <c r="AK3" s="538"/>
      <c r="AM3" s="720" t="s">
        <v>765</v>
      </c>
      <c r="AN3" s="775">
        <v>0.19751</v>
      </c>
      <c r="AQ3" s="554" t="s">
        <v>34</v>
      </c>
      <c r="AR3" s="718" t="s">
        <v>449</v>
      </c>
      <c r="AS3" s="718" t="s">
        <v>450</v>
      </c>
      <c r="AU3" s="554" t="s">
        <v>34</v>
      </c>
      <c r="AV3" s="554" t="s">
        <v>449</v>
      </c>
      <c r="AW3" s="554" t="s">
        <v>450</v>
      </c>
      <c r="AX3" s="560"/>
      <c r="AY3" s="554" t="s">
        <v>34</v>
      </c>
      <c r="AZ3" s="554" t="s">
        <v>449</v>
      </c>
      <c r="BA3" s="554" t="s">
        <v>450</v>
      </c>
      <c r="BC3" s="554" t="s">
        <v>447</v>
      </c>
      <c r="BD3" s="565" t="s">
        <v>449</v>
      </c>
      <c r="BE3" s="565" t="s">
        <v>450</v>
      </c>
    </row>
    <row r="4" spans="1:64" ht="14.25">
      <c r="A4" s="586" t="s">
        <v>428</v>
      </c>
      <c r="B4" s="586"/>
      <c r="C4" s="638">
        <v>74624733</v>
      </c>
      <c r="F4" s="533" t="s">
        <v>620</v>
      </c>
      <c r="G4" s="541">
        <v>91182.74</v>
      </c>
      <c r="I4" s="533" t="s">
        <v>621</v>
      </c>
      <c r="J4" s="541">
        <v>74399.04999999999</v>
      </c>
      <c r="L4" s="533" t="s">
        <v>621</v>
      </c>
      <c r="M4" s="541">
        <v>53719.66</v>
      </c>
      <c r="O4" s="533" t="s">
        <v>621</v>
      </c>
      <c r="P4" s="541">
        <v>6271.139999999999</v>
      </c>
      <c r="R4" s="533" t="s">
        <v>620</v>
      </c>
      <c r="S4" s="541">
        <v>34564.92</v>
      </c>
      <c r="U4" s="533" t="s">
        <v>620</v>
      </c>
      <c r="V4" s="541">
        <v>163170.74</v>
      </c>
      <c r="X4" s="531" t="s">
        <v>42</v>
      </c>
      <c r="Y4" s="609">
        <v>353813</v>
      </c>
      <c r="Z4" s="800">
        <f>+Y4/Y7</f>
        <v>0.5857530490984735</v>
      </c>
      <c r="AB4" s="533" t="s">
        <v>622</v>
      </c>
      <c r="AC4" s="541">
        <v>3374.8599999999997</v>
      </c>
      <c r="AD4" s="541">
        <v>10124.579999999998</v>
      </c>
      <c r="AE4" s="563"/>
      <c r="AG4" s="538"/>
      <c r="AH4" s="533">
        <v>210100</v>
      </c>
      <c r="AI4" s="541">
        <v>29897.83</v>
      </c>
      <c r="AK4" s="773"/>
      <c r="AL4" s="602" t="s">
        <v>541</v>
      </c>
      <c r="AM4" s="603" t="s">
        <v>542</v>
      </c>
      <c r="AN4" s="603" t="s">
        <v>450</v>
      </c>
      <c r="AO4" s="604"/>
      <c r="AQ4" s="652" t="s">
        <v>692</v>
      </c>
      <c r="AR4" s="563">
        <v>382531.9466243961</v>
      </c>
      <c r="AS4" s="541">
        <f>ROUND(AR4*$AN$3,2)</f>
        <v>75553.88</v>
      </c>
      <c r="AU4" s="652" t="s">
        <v>698</v>
      </c>
      <c r="AV4" s="563">
        <v>1044146.900126507</v>
      </c>
      <c r="AW4" s="541">
        <f>ROUND(AV4*$AN$3,2)</f>
        <v>206229.45</v>
      </c>
      <c r="AX4" s="541"/>
      <c r="AY4" s="652" t="s">
        <v>594</v>
      </c>
      <c r="AZ4" s="541">
        <v>115690.25812382699</v>
      </c>
      <c r="BA4" s="541">
        <f>ROUND(AZ4*$AN$3,2)</f>
        <v>22849.98</v>
      </c>
      <c r="BC4" s="652" t="s">
        <v>576</v>
      </c>
      <c r="BD4" s="541">
        <v>254951.7971114482</v>
      </c>
      <c r="BE4" s="541">
        <f>ROUND(BD4*$AN$3,2)</f>
        <v>50355.53</v>
      </c>
      <c r="BH4" s="532" t="s">
        <v>545</v>
      </c>
      <c r="BI4" s="532" t="s">
        <v>546</v>
      </c>
      <c r="BJ4" s="532" t="s">
        <v>766</v>
      </c>
      <c r="BK4" s="532" t="s">
        <v>31</v>
      </c>
      <c r="BL4" s="532" t="s">
        <v>571</v>
      </c>
    </row>
    <row r="5" spans="1:64" ht="15" thickBot="1">
      <c r="A5" s="787" t="s">
        <v>429</v>
      </c>
      <c r="B5" s="787"/>
      <c r="C5" s="788">
        <v>14739105</v>
      </c>
      <c r="F5" s="533" t="s">
        <v>621</v>
      </c>
      <c r="G5" s="541">
        <v>898330.2099999998</v>
      </c>
      <c r="I5" s="533" t="s">
        <v>622</v>
      </c>
      <c r="J5" s="541">
        <v>4998.949999999999</v>
      </c>
      <c r="L5" s="533" t="s">
        <v>622</v>
      </c>
      <c r="M5" s="541">
        <v>4710.52</v>
      </c>
      <c r="O5" s="533" t="s">
        <v>622</v>
      </c>
      <c r="P5" s="541">
        <v>5069.58</v>
      </c>
      <c r="R5" s="533" t="s">
        <v>653</v>
      </c>
      <c r="S5" s="541">
        <v>-35451.40000000021</v>
      </c>
      <c r="U5" s="533" t="s">
        <v>621</v>
      </c>
      <c r="V5" s="541">
        <v>7102.07</v>
      </c>
      <c r="X5" s="531" t="s">
        <v>24</v>
      </c>
      <c r="Y5" s="609">
        <v>58657</v>
      </c>
      <c r="Z5" s="800">
        <f>+Y5/Y7</f>
        <v>0.0971092543263508</v>
      </c>
      <c r="AB5" s="533" t="s">
        <v>623</v>
      </c>
      <c r="AC5" s="541">
        <v>19104.89</v>
      </c>
      <c r="AD5" s="541">
        <v>57314.67</v>
      </c>
      <c r="AE5" s="563"/>
      <c r="AF5" s="568"/>
      <c r="AG5" s="568"/>
      <c r="AH5" s="533">
        <v>240100</v>
      </c>
      <c r="AI5" s="541">
        <v>1572.04</v>
      </c>
      <c r="AJ5" s="716" t="s">
        <v>582</v>
      </c>
      <c r="AK5" s="776" t="s">
        <v>527</v>
      </c>
      <c r="AL5" s="667">
        <v>65327</v>
      </c>
      <c r="AM5" s="719">
        <v>7625790.157564886</v>
      </c>
      <c r="AN5" s="541">
        <f>ROUND(AM5*$AN$3,2)</f>
        <v>1506169.81</v>
      </c>
      <c r="AO5" s="563"/>
      <c r="AQ5" s="652" t="s">
        <v>593</v>
      </c>
      <c r="AR5" s="563">
        <v>47188.52100074943</v>
      </c>
      <c r="AS5" s="541">
        <f aca="true" t="shared" si="0" ref="AS5:AS34">ROUND(AR5*$AN$3,2)</f>
        <v>9320.2</v>
      </c>
      <c r="AU5" s="652" t="s">
        <v>601</v>
      </c>
      <c r="AV5" s="563">
        <v>39520.87933916419</v>
      </c>
      <c r="AW5" s="541">
        <f aca="true" t="shared" si="1" ref="AW5:AW11">ROUND(AV5*$AN$3,2)</f>
        <v>7805.77</v>
      </c>
      <c r="AX5" s="541"/>
      <c r="AY5" s="652" t="s">
        <v>769</v>
      </c>
      <c r="AZ5" s="541">
        <v>96247.368090523</v>
      </c>
      <c r="BA5" s="541">
        <f aca="true" t="shared" si="2" ref="BA5:BA21">ROUND(AZ5*$AN$3,2)</f>
        <v>19009.82</v>
      </c>
      <c r="BC5" s="652" t="s">
        <v>699</v>
      </c>
      <c r="BD5" s="541">
        <v>264234.8547923105</v>
      </c>
      <c r="BE5" s="541">
        <f aca="true" t="shared" si="3" ref="BE5:BE40">ROUND(BD5*$AN$3,2)</f>
        <v>52189.03</v>
      </c>
      <c r="BG5" s="723" t="s">
        <v>702</v>
      </c>
      <c r="BH5" s="563"/>
      <c r="BI5" s="563"/>
      <c r="BJ5" s="563"/>
      <c r="BK5" s="563"/>
      <c r="BL5" s="563"/>
    </row>
    <row r="6" spans="1:67" ht="14.25">
      <c r="A6" s="795" t="s">
        <v>530</v>
      </c>
      <c r="B6" s="795" t="s">
        <v>783</v>
      </c>
      <c r="C6" s="796">
        <f>G44</f>
        <v>3251086.82</v>
      </c>
      <c r="F6" s="533" t="s">
        <v>622</v>
      </c>
      <c r="G6" s="541">
        <v>133875</v>
      </c>
      <c r="I6" s="533" t="s">
        <v>623</v>
      </c>
      <c r="J6" s="541">
        <v>12684.849999999997</v>
      </c>
      <c r="L6" s="533" t="s">
        <v>623</v>
      </c>
      <c r="M6" s="541">
        <v>29412.21</v>
      </c>
      <c r="O6" s="533" t="s">
        <v>624</v>
      </c>
      <c r="P6" s="541">
        <v>51355</v>
      </c>
      <c r="R6" s="533" t="s">
        <v>622</v>
      </c>
      <c r="S6" s="541">
        <v>449335.39</v>
      </c>
      <c r="U6" s="533" t="s">
        <v>622</v>
      </c>
      <c r="V6" s="541">
        <v>15686.369999999999</v>
      </c>
      <c r="X6" s="531" t="s">
        <v>43</v>
      </c>
      <c r="Y6" s="609">
        <v>191561</v>
      </c>
      <c r="Z6" s="800">
        <f>+Y6/Y7</f>
        <v>0.31713769657517576</v>
      </c>
      <c r="AB6" s="533" t="s">
        <v>624</v>
      </c>
      <c r="AC6" s="541">
        <v>200.5</v>
      </c>
      <c r="AD6" s="541">
        <v>601.5</v>
      </c>
      <c r="AE6" s="563"/>
      <c r="AF6" s="568"/>
      <c r="AG6" s="568"/>
      <c r="AH6" s="533">
        <v>310100</v>
      </c>
      <c r="AI6" s="541">
        <v>24456.04</v>
      </c>
      <c r="AJ6" s="716" t="s">
        <v>582</v>
      </c>
      <c r="AK6" s="776" t="s">
        <v>528</v>
      </c>
      <c r="AL6" s="667">
        <v>23216</v>
      </c>
      <c r="AM6" s="719">
        <v>1436046.491827288</v>
      </c>
      <c r="AN6" s="541">
        <f>ROUND(AM6*$AN$3,2)</f>
        <v>283633.54</v>
      </c>
      <c r="AO6" s="563"/>
      <c r="AQ6" s="652" t="s">
        <v>693</v>
      </c>
      <c r="AR6" s="563">
        <v>3742.46992880081</v>
      </c>
      <c r="AS6" s="541">
        <f t="shared" si="0"/>
        <v>739.18</v>
      </c>
      <c r="AU6" s="652" t="s">
        <v>602</v>
      </c>
      <c r="AV6" s="563">
        <v>88045.39605224707</v>
      </c>
      <c r="AW6" s="541">
        <f t="shared" si="1"/>
        <v>17389.85</v>
      </c>
      <c r="AX6" s="541"/>
      <c r="AY6" s="652" t="s">
        <v>725</v>
      </c>
      <c r="AZ6" s="541">
        <v>32176.2035228022</v>
      </c>
      <c r="BA6" s="541">
        <f t="shared" si="2"/>
        <v>6355.12</v>
      </c>
      <c r="BC6" s="652" t="s">
        <v>577</v>
      </c>
      <c r="BD6" s="541">
        <v>283017.55322244443</v>
      </c>
      <c r="BE6" s="541">
        <f t="shared" si="3"/>
        <v>55898.8</v>
      </c>
      <c r="BG6" s="668" t="s">
        <v>547</v>
      </c>
      <c r="BH6" s="563">
        <f>36742528+466839+23598.75</f>
        <v>37232965.75</v>
      </c>
      <c r="BI6" s="563">
        <v>6581628</v>
      </c>
      <c r="BJ6" s="563">
        <v>15330385</v>
      </c>
      <c r="BK6" s="563">
        <f>10783941+391557</f>
        <v>11175498</v>
      </c>
      <c r="BL6" s="563">
        <f aca="true" t="shared" si="4" ref="BL6:BL12">SUM(BH6:BK6)</f>
        <v>70320476.75</v>
      </c>
      <c r="BN6" s="898"/>
      <c r="BO6" s="898"/>
    </row>
    <row r="7" spans="1:67" ht="15" thickBot="1">
      <c r="A7" s="586" t="s">
        <v>430</v>
      </c>
      <c r="B7" s="586" t="s">
        <v>76</v>
      </c>
      <c r="C7" s="709">
        <v>8913972.689999998</v>
      </c>
      <c r="F7" s="533" t="s">
        <v>623</v>
      </c>
      <c r="G7" s="541">
        <v>126633.48000000003</v>
      </c>
      <c r="I7" s="533" t="s">
        <v>627</v>
      </c>
      <c r="J7" s="541">
        <v>302747.42999999993</v>
      </c>
      <c r="L7" s="533" t="s">
        <v>628</v>
      </c>
      <c r="M7" s="541">
        <v>7128.38</v>
      </c>
      <c r="O7" s="533" t="s">
        <v>651</v>
      </c>
      <c r="P7" s="541">
        <v>14555.42</v>
      </c>
      <c r="R7" s="533" t="s">
        <v>623</v>
      </c>
      <c r="S7" s="541">
        <v>41195.38</v>
      </c>
      <c r="U7" s="533" t="s">
        <v>623</v>
      </c>
      <c r="V7" s="541">
        <v>2578.5</v>
      </c>
      <c r="X7" s="531" t="s">
        <v>571</v>
      </c>
      <c r="Y7" s="610">
        <f>SUM(Y4:Y6)</f>
        <v>604031</v>
      </c>
      <c r="Z7" s="801">
        <f>SUM(Z4:Z6)</f>
        <v>1</v>
      </c>
      <c r="AB7" s="533" t="s">
        <v>627</v>
      </c>
      <c r="AC7" s="541">
        <v>282.0975</v>
      </c>
      <c r="AD7" s="541">
        <v>846.2925</v>
      </c>
      <c r="AE7" s="563"/>
      <c r="AF7" s="568"/>
      <c r="AG7" s="568"/>
      <c r="AH7" s="533">
        <v>410100</v>
      </c>
      <c r="AI7" s="541">
        <v>119239.13</v>
      </c>
      <c r="AJ7" s="716" t="s">
        <v>582</v>
      </c>
      <c r="AK7" s="776" t="s">
        <v>529</v>
      </c>
      <c r="AL7" s="667">
        <v>312788</v>
      </c>
      <c r="AM7" s="719">
        <v>13690085.762383014</v>
      </c>
      <c r="AN7" s="541">
        <f>ROUND(AM7*$AN$3,2)</f>
        <v>2703928.84</v>
      </c>
      <c r="AO7" s="563"/>
      <c r="AQ7" s="652" t="s">
        <v>594</v>
      </c>
      <c r="AR7" s="563">
        <v>215864.2566609829</v>
      </c>
      <c r="AS7" s="541">
        <f t="shared" si="0"/>
        <v>42635.35</v>
      </c>
      <c r="AU7" s="652" t="s">
        <v>603</v>
      </c>
      <c r="AV7" s="563">
        <v>11866.831030272737</v>
      </c>
      <c r="AW7" s="541">
        <f t="shared" si="1"/>
        <v>2343.82</v>
      </c>
      <c r="AX7" s="541"/>
      <c r="AY7" s="652" t="s">
        <v>598</v>
      </c>
      <c r="AZ7" s="541">
        <v>37822.31984544681</v>
      </c>
      <c r="BA7" s="541">
        <f t="shared" si="2"/>
        <v>7470.29</v>
      </c>
      <c r="BC7" s="652" t="s">
        <v>585</v>
      </c>
      <c r="BD7" s="541">
        <v>233598.43678814624</v>
      </c>
      <c r="BE7" s="541">
        <f t="shared" si="3"/>
        <v>46138.03</v>
      </c>
      <c r="BG7" s="668" t="s">
        <v>548</v>
      </c>
      <c r="BH7" s="563">
        <f>3250591+92532+30406</f>
        <v>3373529</v>
      </c>
      <c r="BI7" s="563">
        <v>14524</v>
      </c>
      <c r="BJ7" s="563">
        <v>1265249</v>
      </c>
      <c r="BK7" s="563">
        <f>16129+1666</f>
        <v>17795</v>
      </c>
      <c r="BL7" s="563">
        <f t="shared" si="4"/>
        <v>4671097</v>
      </c>
      <c r="BN7" s="899"/>
      <c r="BO7" s="898"/>
    </row>
    <row r="8" spans="1:67" ht="13.5" thickTop="1">
      <c r="A8" s="586" t="s">
        <v>455</v>
      </c>
      <c r="B8" s="586" t="s">
        <v>77</v>
      </c>
      <c r="C8" s="692">
        <v>181677.34</v>
      </c>
      <c r="F8" s="533" t="s">
        <v>625</v>
      </c>
      <c r="G8" s="541">
        <v>174</v>
      </c>
      <c r="I8" s="533" t="s">
        <v>628</v>
      </c>
      <c r="J8" s="541">
        <v>4904.07</v>
      </c>
      <c r="L8" s="533" t="s">
        <v>629</v>
      </c>
      <c r="M8" s="541">
        <v>67.16</v>
      </c>
      <c r="O8" s="533" t="s">
        <v>628</v>
      </c>
      <c r="P8" s="541">
        <v>-61.61</v>
      </c>
      <c r="R8" s="693" t="s">
        <v>801</v>
      </c>
      <c r="S8" s="541">
        <v>2160520</v>
      </c>
      <c r="U8" s="533" t="s">
        <v>624</v>
      </c>
      <c r="V8" s="541">
        <v>808426.5499999999</v>
      </c>
      <c r="Y8" s="611"/>
      <c r="AB8" s="533" t="s">
        <v>651</v>
      </c>
      <c r="AC8" s="541">
        <v>15918.909999999996</v>
      </c>
      <c r="AD8" s="541">
        <v>47756.72999999999</v>
      </c>
      <c r="AE8" s="563"/>
      <c r="AF8" s="568"/>
      <c r="AG8" s="568"/>
      <c r="AH8" s="533" t="s">
        <v>458</v>
      </c>
      <c r="AI8" s="541">
        <v>139749.43</v>
      </c>
      <c r="AJ8" s="716" t="s">
        <v>582</v>
      </c>
      <c r="AK8" s="776" t="s">
        <v>530</v>
      </c>
      <c r="AL8" s="667">
        <v>475504.8384991756</v>
      </c>
      <c r="AM8" s="719">
        <v>10838570.942447502</v>
      </c>
      <c r="AN8" s="541">
        <f>ROUND(AM8*$AN$3,2)</f>
        <v>2140726.15</v>
      </c>
      <c r="AO8" s="563"/>
      <c r="AQ8" s="652" t="s">
        <v>595</v>
      </c>
      <c r="AR8" s="563">
        <v>109480.85819251751</v>
      </c>
      <c r="AS8" s="541">
        <f t="shared" si="0"/>
        <v>21623.56</v>
      </c>
      <c r="AU8" s="652" t="s">
        <v>695</v>
      </c>
      <c r="AV8" s="563">
        <v>126212.90782695779</v>
      </c>
      <c r="AW8" s="541">
        <f t="shared" si="1"/>
        <v>24928.31</v>
      </c>
      <c r="AX8" s="541"/>
      <c r="AY8" s="652" t="s">
        <v>600</v>
      </c>
      <c r="AZ8" s="541">
        <v>22874.1337567995</v>
      </c>
      <c r="BA8" s="541">
        <f t="shared" si="2"/>
        <v>4517.87</v>
      </c>
      <c r="BC8" s="652" t="s">
        <v>578</v>
      </c>
      <c r="BD8" s="541">
        <v>774187.4855388724</v>
      </c>
      <c r="BE8" s="541">
        <f t="shared" si="3"/>
        <v>152909.77</v>
      </c>
      <c r="BG8" s="668" t="s">
        <v>549</v>
      </c>
      <c r="BH8" s="563">
        <f>4610439+0+368228+59101</f>
        <v>5037768</v>
      </c>
      <c r="BI8" s="563">
        <v>339228</v>
      </c>
      <c r="BJ8" s="563">
        <v>2647514</v>
      </c>
      <c r="BK8" s="563">
        <f>18637+1224510</f>
        <v>1243147</v>
      </c>
      <c r="BL8" s="563">
        <f t="shared" si="4"/>
        <v>9267657</v>
      </c>
      <c r="BM8" s="541"/>
      <c r="BN8" s="899"/>
      <c r="BO8" s="898"/>
    </row>
    <row r="9" spans="1:67" ht="12.75">
      <c r="A9" s="586" t="s">
        <v>431</v>
      </c>
      <c r="B9" s="586" t="s">
        <v>784</v>
      </c>
      <c r="C9" s="709">
        <v>1710844.61</v>
      </c>
      <c r="F9" s="533" t="s">
        <v>626</v>
      </c>
      <c r="G9" s="541">
        <v>57.16</v>
      </c>
      <c r="I9" s="533" t="s">
        <v>629</v>
      </c>
      <c r="J9" s="541">
        <v>15.44</v>
      </c>
      <c r="L9" s="533" t="s">
        <v>630</v>
      </c>
      <c r="M9" s="541">
        <v>15.6</v>
      </c>
      <c r="O9" s="533" t="s">
        <v>631</v>
      </c>
      <c r="P9" s="541">
        <v>825</v>
      </c>
      <c r="R9" s="782" t="s">
        <v>654</v>
      </c>
      <c r="S9" s="719">
        <v>4875.48000000231</v>
      </c>
      <c r="U9" s="533" t="s">
        <v>625</v>
      </c>
      <c r="V9" s="541">
        <v>1323.53</v>
      </c>
      <c r="Y9" s="611"/>
      <c r="AB9" s="533" t="s">
        <v>628</v>
      </c>
      <c r="AC9" s="541">
        <v>-361.1475</v>
      </c>
      <c r="AD9" s="541">
        <v>-1083.4424999999999</v>
      </c>
      <c r="AE9" s="563"/>
      <c r="AF9" s="568"/>
      <c r="AG9" s="568"/>
      <c r="AH9" s="533" t="s">
        <v>459</v>
      </c>
      <c r="AI9" s="541">
        <v>173512.69</v>
      </c>
      <c r="AJ9" s="716" t="s">
        <v>582</v>
      </c>
      <c r="AK9" s="1054" t="s">
        <v>779</v>
      </c>
      <c r="AL9" s="667">
        <f>BF43</f>
        <v>43949.67790134109</v>
      </c>
      <c r="AM9" s="719">
        <f>AR36</f>
        <v>1764069.7486873753</v>
      </c>
      <c r="AN9" s="541">
        <f>AS36</f>
        <v>348421.4360595732</v>
      </c>
      <c r="AO9" s="563"/>
      <c r="AQ9" s="652" t="s">
        <v>767</v>
      </c>
      <c r="AR9" s="563">
        <v>164764.10369286564</v>
      </c>
      <c r="AS9" s="541">
        <f t="shared" si="0"/>
        <v>32542.56</v>
      </c>
      <c r="AU9" s="652" t="s">
        <v>696</v>
      </c>
      <c r="AV9" s="563">
        <v>9680.828566882132</v>
      </c>
      <c r="AW9" s="541">
        <f t="shared" si="1"/>
        <v>1912.06</v>
      </c>
      <c r="AX9" s="541"/>
      <c r="AY9" s="652" t="s">
        <v>726</v>
      </c>
      <c r="AZ9" s="541">
        <v>323165.458906878</v>
      </c>
      <c r="BA9" s="541">
        <f t="shared" si="2"/>
        <v>63828.41</v>
      </c>
      <c r="BC9" s="652" t="s">
        <v>662</v>
      </c>
      <c r="BD9" s="541">
        <v>207922.7684725865</v>
      </c>
      <c r="BE9" s="541">
        <f t="shared" si="3"/>
        <v>41066.83</v>
      </c>
      <c r="BG9" s="668" t="s">
        <v>705</v>
      </c>
      <c r="BH9" s="563">
        <f>308198+805639+4503</f>
        <v>1118340</v>
      </c>
      <c r="BI9" s="563">
        <v>336826</v>
      </c>
      <c r="BJ9" s="563">
        <v>13196</v>
      </c>
      <c r="BK9" s="563">
        <f>492+14910</f>
        <v>15402</v>
      </c>
      <c r="BL9" s="563">
        <f t="shared" si="4"/>
        <v>1483764</v>
      </c>
      <c r="BN9" s="493"/>
      <c r="BO9" s="493"/>
    </row>
    <row r="10" spans="1:67" ht="15" customHeight="1">
      <c r="A10" s="784" t="s">
        <v>785</v>
      </c>
      <c r="B10" s="784" t="s">
        <v>786</v>
      </c>
      <c r="C10" s="692">
        <v>82382</v>
      </c>
      <c r="F10" s="533" t="s">
        <v>627</v>
      </c>
      <c r="G10" s="541">
        <v>4009.43</v>
      </c>
      <c r="I10" s="533" t="s">
        <v>630</v>
      </c>
      <c r="J10" s="541">
        <v>23.4</v>
      </c>
      <c r="L10" s="533" t="s">
        <v>631</v>
      </c>
      <c r="M10" s="541">
        <v>23739</v>
      </c>
      <c r="O10" s="533" t="s">
        <v>633</v>
      </c>
      <c r="P10" s="541">
        <v>13510.15</v>
      </c>
      <c r="R10" s="533" t="s">
        <v>625</v>
      </c>
      <c r="S10" s="541">
        <v>38542.6</v>
      </c>
      <c r="U10" s="533" t="s">
        <v>651</v>
      </c>
      <c r="V10" s="541">
        <v>17712.8</v>
      </c>
      <c r="X10" s="699"/>
      <c r="Y10" s="700"/>
      <c r="Z10" s="703"/>
      <c r="AB10" s="533" t="s">
        <v>631</v>
      </c>
      <c r="AC10" s="541">
        <v>7977.750000000003</v>
      </c>
      <c r="AD10" s="541">
        <v>23933.250000000007</v>
      </c>
      <c r="AE10" s="563"/>
      <c r="AF10" s="568"/>
      <c r="AG10" s="568"/>
      <c r="AH10" s="533" t="s">
        <v>460</v>
      </c>
      <c r="AI10" s="541">
        <v>143959.64</v>
      </c>
      <c r="AJ10" s="716" t="s">
        <v>583</v>
      </c>
      <c r="AK10" s="776" t="s">
        <v>531</v>
      </c>
      <c r="AL10" s="667">
        <v>31613</v>
      </c>
      <c r="AM10" s="719">
        <v>2642612.778083832</v>
      </c>
      <c r="AN10" s="541">
        <f aca="true" t="shared" si="5" ref="AN10:AN20">ROUND(AM10*$AN$3,2)</f>
        <v>521942.45</v>
      </c>
      <c r="AO10" s="563"/>
      <c r="AQ10" s="652" t="s">
        <v>753</v>
      </c>
      <c r="AR10" s="563">
        <v>31175.972431119</v>
      </c>
      <c r="AS10" s="541">
        <f t="shared" si="0"/>
        <v>6157.57</v>
      </c>
      <c r="AU10" s="652" t="s">
        <v>607</v>
      </c>
      <c r="AV10" s="563">
        <v>73534.95226983924</v>
      </c>
      <c r="AW10" s="541">
        <f t="shared" si="1"/>
        <v>14523.89</v>
      </c>
      <c r="AX10" s="541"/>
      <c r="AY10" s="652" t="s">
        <v>601</v>
      </c>
      <c r="AZ10" s="541">
        <v>208166.58474965557</v>
      </c>
      <c r="BA10" s="541">
        <f t="shared" si="2"/>
        <v>41114.98</v>
      </c>
      <c r="BC10" s="652" t="s">
        <v>663</v>
      </c>
      <c r="BD10" s="541">
        <v>5.1194212128764685</v>
      </c>
      <c r="BE10" s="541">
        <f t="shared" si="3"/>
        <v>1.01</v>
      </c>
      <c r="BG10" s="668" t="s">
        <v>706</v>
      </c>
      <c r="BH10" s="563">
        <f>408880+32867+3635</f>
        <v>445382</v>
      </c>
      <c r="BI10" s="563">
        <v>993</v>
      </c>
      <c r="BJ10" s="563">
        <v>108405</v>
      </c>
      <c r="BK10" s="563">
        <f>24749+735+1</f>
        <v>25485</v>
      </c>
      <c r="BL10" s="563">
        <f t="shared" si="4"/>
        <v>580265</v>
      </c>
      <c r="BN10" s="495"/>
      <c r="BO10" s="493"/>
    </row>
    <row r="11" spans="1:64" ht="14.25">
      <c r="A11" s="784" t="s">
        <v>420</v>
      </c>
      <c r="B11" s="784" t="s">
        <v>413</v>
      </c>
      <c r="C11" s="709">
        <f>G35</f>
        <v>7794759.5600000005</v>
      </c>
      <c r="D11" s="777"/>
      <c r="E11" s="777"/>
      <c r="F11" s="533" t="s">
        <v>628</v>
      </c>
      <c r="G11" s="541">
        <v>81023.74000000002</v>
      </c>
      <c r="I11" s="533" t="s">
        <v>631</v>
      </c>
      <c r="J11" s="541">
        <v>23654.03</v>
      </c>
      <c r="L11" s="533" t="s">
        <v>632</v>
      </c>
      <c r="M11" s="541">
        <v>235</v>
      </c>
      <c r="O11" s="533" t="s">
        <v>634</v>
      </c>
      <c r="P11" s="541">
        <v>1926.91</v>
      </c>
      <c r="R11" s="533" t="s">
        <v>628</v>
      </c>
      <c r="S11" s="541">
        <v>599776.8099999999</v>
      </c>
      <c r="U11" s="533" t="s">
        <v>628</v>
      </c>
      <c r="V11" s="541">
        <v>1129.0800000000002</v>
      </c>
      <c r="X11" s="699"/>
      <c r="Y11" s="700"/>
      <c r="Z11" s="703"/>
      <c r="AB11" s="533" t="s">
        <v>633</v>
      </c>
      <c r="AC11" s="541">
        <v>6634.694999999999</v>
      </c>
      <c r="AD11" s="541">
        <v>19904.084999999995</v>
      </c>
      <c r="AE11" s="563"/>
      <c r="AF11" s="568"/>
      <c r="AG11" s="568"/>
      <c r="AH11" s="533" t="s">
        <v>461</v>
      </c>
      <c r="AI11" s="541">
        <v>40686.71</v>
      </c>
      <c r="AJ11" s="716" t="s">
        <v>583</v>
      </c>
      <c r="AK11" s="776" t="s">
        <v>532</v>
      </c>
      <c r="AL11" s="667">
        <v>40547</v>
      </c>
      <c r="AM11" s="719">
        <v>1751972.907469682</v>
      </c>
      <c r="AN11" s="541">
        <f t="shared" si="5"/>
        <v>346032.17</v>
      </c>
      <c r="AO11" s="563"/>
      <c r="AQ11" s="652" t="s">
        <v>596</v>
      </c>
      <c r="AR11" s="563">
        <v>55553.9030914297</v>
      </c>
      <c r="AS11" s="541">
        <f t="shared" si="0"/>
        <v>10972.45</v>
      </c>
      <c r="AU11" s="652" t="s">
        <v>608</v>
      </c>
      <c r="AV11" s="563">
        <v>14677.81826167499</v>
      </c>
      <c r="AW11" s="541">
        <f t="shared" si="1"/>
        <v>2899.02</v>
      </c>
      <c r="AX11" s="541"/>
      <c r="AY11" s="652" t="s">
        <v>602</v>
      </c>
      <c r="AZ11" s="541">
        <v>104224.30679459138</v>
      </c>
      <c r="BA11" s="541">
        <f t="shared" si="2"/>
        <v>20585.34</v>
      </c>
      <c r="BC11" s="652" t="s">
        <v>675</v>
      </c>
      <c r="BD11" s="541">
        <v>241976.4764696641</v>
      </c>
      <c r="BE11" s="541">
        <f t="shared" si="3"/>
        <v>47792.77</v>
      </c>
      <c r="BG11" s="723" t="s">
        <v>703</v>
      </c>
      <c r="BH11" s="563"/>
      <c r="BI11" s="563"/>
      <c r="BJ11" s="563"/>
      <c r="BK11" s="563">
        <v>4020778</v>
      </c>
      <c r="BL11" s="563">
        <f t="shared" si="4"/>
        <v>4020778</v>
      </c>
    </row>
    <row r="12" spans="1:64" ht="14.25">
      <c r="A12" s="784" t="s">
        <v>424</v>
      </c>
      <c r="B12" s="784" t="s">
        <v>788</v>
      </c>
      <c r="C12" s="709">
        <f>G37</f>
        <v>1001772.1911434014</v>
      </c>
      <c r="D12" s="777"/>
      <c r="E12" s="777"/>
      <c r="F12" s="533" t="s">
        <v>629</v>
      </c>
      <c r="G12" s="541">
        <v>4734.7300000000005</v>
      </c>
      <c r="I12" s="533" t="s">
        <v>633</v>
      </c>
      <c r="J12" s="541">
        <v>115442.14</v>
      </c>
      <c r="L12" s="533" t="s">
        <v>633</v>
      </c>
      <c r="M12" s="541">
        <v>98792.24000000002</v>
      </c>
      <c r="O12" s="533" t="s">
        <v>652</v>
      </c>
      <c r="P12" s="541">
        <v>238.8</v>
      </c>
      <c r="R12" s="533" t="s">
        <v>631</v>
      </c>
      <c r="S12" s="541">
        <v>46345.38</v>
      </c>
      <c r="U12" s="533" t="s">
        <v>629</v>
      </c>
      <c r="V12" s="541">
        <v>17629.97</v>
      </c>
      <c r="X12" s="555"/>
      <c r="Y12" s="700"/>
      <c r="Z12" s="703"/>
      <c r="AB12" s="533" t="s">
        <v>690</v>
      </c>
      <c r="AC12" s="541">
        <v>104.66750000000002</v>
      </c>
      <c r="AD12" s="541">
        <v>314.00250000000005</v>
      </c>
      <c r="AE12" s="563"/>
      <c r="AF12" s="568"/>
      <c r="AG12" s="568"/>
      <c r="AH12" s="533" t="s">
        <v>462</v>
      </c>
      <c r="AI12" s="541">
        <v>166460.48</v>
      </c>
      <c r="AJ12" s="716" t="s">
        <v>583</v>
      </c>
      <c r="AK12" s="776" t="s">
        <v>533</v>
      </c>
      <c r="AL12" s="667">
        <v>60151.721670359984</v>
      </c>
      <c r="AM12" s="719">
        <v>1407686.5134735454</v>
      </c>
      <c r="AN12" s="667">
        <f t="shared" si="5"/>
        <v>278032.16</v>
      </c>
      <c r="AO12" s="563"/>
      <c r="AQ12" s="652" t="s">
        <v>597</v>
      </c>
      <c r="AR12" s="563">
        <v>305842.8132999911</v>
      </c>
      <c r="AS12" s="541">
        <f t="shared" si="0"/>
        <v>60407.01</v>
      </c>
      <c r="AU12" s="652"/>
      <c r="AV12" s="563"/>
      <c r="AW12" s="541"/>
      <c r="AX12" s="541"/>
      <c r="AY12" s="652" t="s">
        <v>671</v>
      </c>
      <c r="AZ12" s="541">
        <v>30920.7545258822</v>
      </c>
      <c r="BA12" s="541">
        <f t="shared" si="2"/>
        <v>6107.16</v>
      </c>
      <c r="BC12" s="652" t="s">
        <v>458</v>
      </c>
      <c r="BD12" s="541">
        <v>27602.830157822405</v>
      </c>
      <c r="BE12" s="541">
        <f t="shared" si="3"/>
        <v>5451.83</v>
      </c>
      <c r="BG12" s="723" t="s">
        <v>550</v>
      </c>
      <c r="BH12" s="563">
        <v>1603239</v>
      </c>
      <c r="BI12" s="563">
        <v>686377</v>
      </c>
      <c r="BJ12" s="563">
        <v>1819812</v>
      </c>
      <c r="BK12" s="563">
        <f>20610893-BH12-BI12-BJ12</f>
        <v>16501465</v>
      </c>
      <c r="BL12" s="563">
        <f t="shared" si="4"/>
        <v>20610893</v>
      </c>
    </row>
    <row r="13" spans="1:64" ht="14.25">
      <c r="A13" s="784" t="s">
        <v>424</v>
      </c>
      <c r="B13" s="785" t="s">
        <v>787</v>
      </c>
      <c r="C13" s="709">
        <f>G38</f>
        <v>1276219.7075</v>
      </c>
      <c r="D13" s="777"/>
      <c r="E13" s="777"/>
      <c r="F13" s="533" t="s">
        <v>630</v>
      </c>
      <c r="G13" s="541">
        <v>1618.5</v>
      </c>
      <c r="I13" s="533" t="s">
        <v>634</v>
      </c>
      <c r="J13" s="541">
        <v>44717.67</v>
      </c>
      <c r="L13" s="533" t="s">
        <v>634</v>
      </c>
      <c r="M13" s="541">
        <v>29774.05</v>
      </c>
      <c r="O13" s="533" t="s">
        <v>635</v>
      </c>
      <c r="P13" s="541">
        <v>100</v>
      </c>
      <c r="R13" s="533" t="s">
        <v>632</v>
      </c>
      <c r="S13" s="541">
        <v>543.77</v>
      </c>
      <c r="U13" s="533" t="s">
        <v>630</v>
      </c>
      <c r="V13" s="541">
        <v>8535</v>
      </c>
      <c r="X13" s="555"/>
      <c r="Y13" s="555"/>
      <c r="Z13" s="555"/>
      <c r="AB13" s="533" t="s">
        <v>652</v>
      </c>
      <c r="AC13" s="541">
        <v>38119.017500000016</v>
      </c>
      <c r="AD13" s="541">
        <v>114357.05250000005</v>
      </c>
      <c r="AE13" s="563"/>
      <c r="AF13" s="568"/>
      <c r="AG13" s="568"/>
      <c r="AH13" s="533" t="s">
        <v>463</v>
      </c>
      <c r="AI13" s="541">
        <v>32797.64</v>
      </c>
      <c r="AJ13" s="802" t="s">
        <v>583</v>
      </c>
      <c r="AK13" s="1054" t="s">
        <v>780</v>
      </c>
      <c r="AL13" s="667">
        <f>BF44</f>
        <v>7286.211237741304</v>
      </c>
      <c r="AM13" s="719">
        <f>AV36</f>
        <v>292456.86068277695</v>
      </c>
      <c r="AN13" s="719">
        <f>AW36</f>
        <v>57763.15786855311</v>
      </c>
      <c r="AO13" s="563"/>
      <c r="AQ13" s="652" t="s">
        <v>598</v>
      </c>
      <c r="AR13" s="563">
        <v>244107.82926263343</v>
      </c>
      <c r="AS13" s="541">
        <f t="shared" si="0"/>
        <v>48213.74</v>
      </c>
      <c r="AU13" s="652"/>
      <c r="AV13" s="563"/>
      <c r="AW13" s="541"/>
      <c r="AX13" s="541"/>
      <c r="AY13" s="652" t="s">
        <v>672</v>
      </c>
      <c r="AZ13" s="541">
        <v>106983.31344048929</v>
      </c>
      <c r="BA13" s="541">
        <f t="shared" si="2"/>
        <v>21130.27</v>
      </c>
      <c r="BC13" s="652" t="s">
        <v>459</v>
      </c>
      <c r="BD13" s="541">
        <v>6491.975697819005</v>
      </c>
      <c r="BE13" s="541">
        <f t="shared" si="3"/>
        <v>1282.23</v>
      </c>
      <c r="BG13" s="723" t="s">
        <v>551</v>
      </c>
      <c r="BH13" s="563"/>
      <c r="BI13" s="563"/>
      <c r="BJ13" s="563"/>
      <c r="BK13" s="563">
        <v>3230218</v>
      </c>
      <c r="BL13" s="563">
        <f aca="true" t="shared" si="6" ref="BL13:BL23">SUM(BH13:BK13)</f>
        <v>3230218</v>
      </c>
    </row>
    <row r="14" spans="1:64" ht="15" thickBot="1">
      <c r="A14" s="789" t="s">
        <v>420</v>
      </c>
      <c r="B14" s="790" t="s">
        <v>789</v>
      </c>
      <c r="C14" s="804">
        <f>AC28</f>
        <v>166824.35749999998</v>
      </c>
      <c r="D14" s="797">
        <f>SUM(C7:C14)</f>
        <v>21128452.456143398</v>
      </c>
      <c r="E14" s="777"/>
      <c r="F14" s="533" t="s">
        <v>631</v>
      </c>
      <c r="G14" s="541">
        <v>80693.2</v>
      </c>
      <c r="I14" s="533" t="s">
        <v>635</v>
      </c>
      <c r="J14" s="541">
        <v>1400.84</v>
      </c>
      <c r="L14" s="533" t="s">
        <v>635</v>
      </c>
      <c r="M14" s="541">
        <v>2706.1</v>
      </c>
      <c r="O14" s="533" t="s">
        <v>636</v>
      </c>
      <c r="P14" s="541">
        <v>8241.98</v>
      </c>
      <c r="R14" s="533" t="s">
        <v>635</v>
      </c>
      <c r="S14" s="541">
        <v>71605.13</v>
      </c>
      <c r="U14" s="533" t="s">
        <v>631</v>
      </c>
      <c r="V14" s="541">
        <v>30000.68</v>
      </c>
      <c r="AB14" s="533" t="s">
        <v>635</v>
      </c>
      <c r="AC14" s="541">
        <v>307.18</v>
      </c>
      <c r="AD14" s="541">
        <v>921.54</v>
      </c>
      <c r="AE14" s="563"/>
      <c r="AF14" s="568"/>
      <c r="AG14" s="568"/>
      <c r="AH14" s="533" t="s">
        <v>464</v>
      </c>
      <c r="AI14" s="541">
        <v>27244.5</v>
      </c>
      <c r="AJ14" s="716" t="s">
        <v>584</v>
      </c>
      <c r="AK14" s="776" t="s">
        <v>534</v>
      </c>
      <c r="AL14" s="667">
        <v>53973</v>
      </c>
      <c r="AM14" s="719">
        <v>2282059.042623769</v>
      </c>
      <c r="AN14" s="541">
        <f t="shared" si="5"/>
        <v>450729.48</v>
      </c>
      <c r="AO14" s="563"/>
      <c r="AQ14" s="652" t="s">
        <v>599</v>
      </c>
      <c r="AR14" s="563">
        <v>86735.0254770888</v>
      </c>
      <c r="AS14" s="541">
        <f t="shared" si="0"/>
        <v>17131.03</v>
      </c>
      <c r="AU14" s="652"/>
      <c r="AV14" s="563"/>
      <c r="AW14" s="541"/>
      <c r="AX14" s="541"/>
      <c r="AY14" s="652" t="s">
        <v>673</v>
      </c>
      <c r="AZ14" s="541">
        <v>30368.03361930117</v>
      </c>
      <c r="BA14" s="541">
        <f t="shared" si="2"/>
        <v>5997.99</v>
      </c>
      <c r="BC14" s="652" t="s">
        <v>460</v>
      </c>
      <c r="BD14" s="541">
        <v>426.0111604520285</v>
      </c>
      <c r="BE14" s="541">
        <f t="shared" si="3"/>
        <v>84.14</v>
      </c>
      <c r="BG14" s="723" t="s">
        <v>552</v>
      </c>
      <c r="BH14" s="563"/>
      <c r="BI14" s="563"/>
      <c r="BJ14" s="563"/>
      <c r="BK14" s="563">
        <f>1068545+73299</f>
        <v>1141844</v>
      </c>
      <c r="BL14" s="563">
        <f t="shared" si="6"/>
        <v>1141844</v>
      </c>
    </row>
    <row r="15" spans="1:64" ht="14.25">
      <c r="A15" s="795" t="s">
        <v>533</v>
      </c>
      <c r="B15" s="795" t="s">
        <v>790</v>
      </c>
      <c r="C15" s="805">
        <f>J44</f>
        <v>125519.81</v>
      </c>
      <c r="D15" s="777"/>
      <c r="E15" s="777"/>
      <c r="F15" s="533" t="s">
        <v>632</v>
      </c>
      <c r="G15" s="541">
        <v>1211.74</v>
      </c>
      <c r="I15" s="533" t="s">
        <v>636</v>
      </c>
      <c r="J15" s="541">
        <v>75</v>
      </c>
      <c r="L15" s="533" t="s">
        <v>636</v>
      </c>
      <c r="M15" s="541">
        <v>38457.96</v>
      </c>
      <c r="O15" s="533" t="s">
        <v>637</v>
      </c>
      <c r="P15" s="541">
        <v>3921.39</v>
      </c>
      <c r="R15" s="533" t="s">
        <v>636</v>
      </c>
      <c r="S15" s="541">
        <v>53311.78</v>
      </c>
      <c r="U15" s="533" t="s">
        <v>632</v>
      </c>
      <c r="V15" s="541">
        <v>2200</v>
      </c>
      <c r="AB15" s="533" t="s">
        <v>636</v>
      </c>
      <c r="AC15" s="541">
        <v>807.4999999999998</v>
      </c>
      <c r="AD15" s="541">
        <v>2422.499999999999</v>
      </c>
      <c r="AE15" s="563"/>
      <c r="AF15" s="568"/>
      <c r="AG15" s="568"/>
      <c r="AH15" s="533" t="s">
        <v>465</v>
      </c>
      <c r="AI15" s="541">
        <v>38096.42</v>
      </c>
      <c r="AJ15" s="716" t="s">
        <v>584</v>
      </c>
      <c r="AK15" s="776" t="s">
        <v>535</v>
      </c>
      <c r="AL15" s="667">
        <v>285252</v>
      </c>
      <c r="AM15" s="719">
        <v>9388864.562004838</v>
      </c>
      <c r="AN15" s="541">
        <f t="shared" si="5"/>
        <v>1854394.64</v>
      </c>
      <c r="AQ15" s="652" t="s">
        <v>600</v>
      </c>
      <c r="AR15" s="563">
        <v>2930949.205185936</v>
      </c>
      <c r="AS15" s="541">
        <f t="shared" si="0"/>
        <v>578891.78</v>
      </c>
      <c r="AU15" s="652"/>
      <c r="AV15" s="563"/>
      <c r="AW15" s="541"/>
      <c r="AX15" s="541"/>
      <c r="AY15" s="652" t="s">
        <v>687</v>
      </c>
      <c r="AZ15" s="541">
        <v>1467353.9196485544</v>
      </c>
      <c r="BA15" s="541">
        <f t="shared" si="2"/>
        <v>289817.07</v>
      </c>
      <c r="BC15" s="652" t="s">
        <v>461</v>
      </c>
      <c r="BD15" s="541">
        <v>17771.516051721144</v>
      </c>
      <c r="BE15" s="541">
        <f t="shared" si="3"/>
        <v>3510.05</v>
      </c>
      <c r="BG15" s="723" t="s">
        <v>553</v>
      </c>
      <c r="BH15" s="563">
        <v>10556814</v>
      </c>
      <c r="BI15" s="563">
        <v>12758</v>
      </c>
      <c r="BJ15" s="563">
        <v>91429</v>
      </c>
      <c r="BK15" s="563">
        <f>10680824-BH15-BI15-BJ15</f>
        <v>19823</v>
      </c>
      <c r="BL15" s="563">
        <f t="shared" si="6"/>
        <v>10680824</v>
      </c>
    </row>
    <row r="16" spans="1:64" ht="14.25">
      <c r="A16" s="586" t="s">
        <v>432</v>
      </c>
      <c r="B16" s="586" t="s">
        <v>222</v>
      </c>
      <c r="C16" s="709">
        <v>577439.9899999999</v>
      </c>
      <c r="F16" s="533" t="s">
        <v>633</v>
      </c>
      <c r="G16" s="541">
        <v>540416.7600000001</v>
      </c>
      <c r="I16" s="533" t="s">
        <v>637</v>
      </c>
      <c r="J16" s="541">
        <v>11310.980000000001</v>
      </c>
      <c r="L16" s="533" t="s">
        <v>637</v>
      </c>
      <c r="M16" s="541">
        <v>309254.77</v>
      </c>
      <c r="O16" s="533" t="s">
        <v>638</v>
      </c>
      <c r="P16" s="541">
        <v>4337.2300000000005</v>
      </c>
      <c r="R16" s="533" t="s">
        <v>637</v>
      </c>
      <c r="S16" s="541">
        <v>1754345.41</v>
      </c>
      <c r="U16" s="533" t="s">
        <v>633</v>
      </c>
      <c r="V16" s="541">
        <v>35933.259999999995</v>
      </c>
      <c r="X16" s="575"/>
      <c r="Y16" s="555"/>
      <c r="Z16" s="555"/>
      <c r="AB16" s="533" t="s">
        <v>637</v>
      </c>
      <c r="AC16" s="541">
        <v>19348.32</v>
      </c>
      <c r="AD16" s="541">
        <v>58044.96</v>
      </c>
      <c r="AE16" s="563"/>
      <c r="AF16" s="568"/>
      <c r="AG16" s="568"/>
      <c r="AH16" s="533" t="s">
        <v>466</v>
      </c>
      <c r="AI16" s="541">
        <v>27242.38</v>
      </c>
      <c r="AJ16" s="716" t="s">
        <v>584</v>
      </c>
      <c r="AK16" s="776" t="s">
        <v>536</v>
      </c>
      <c r="AL16" s="667">
        <v>73861.88159431667</v>
      </c>
      <c r="AM16" s="719">
        <v>4031579.6356521426</v>
      </c>
      <c r="AN16" s="541">
        <f t="shared" si="5"/>
        <v>796277.29</v>
      </c>
      <c r="AO16" s="563"/>
      <c r="AQ16" s="652" t="s">
        <v>666</v>
      </c>
      <c r="AR16" s="563">
        <v>668635.757682798</v>
      </c>
      <c r="AS16" s="541">
        <f t="shared" si="0"/>
        <v>132062.25</v>
      </c>
      <c r="AU16" s="652"/>
      <c r="AV16" s="563"/>
      <c r="AW16" s="541"/>
      <c r="AX16" s="541"/>
      <c r="AY16" s="652" t="s">
        <v>688</v>
      </c>
      <c r="AZ16" s="541">
        <v>126830.9532606594</v>
      </c>
      <c r="BA16" s="541">
        <f t="shared" si="2"/>
        <v>25050.38</v>
      </c>
      <c r="BC16" s="652" t="s">
        <v>462</v>
      </c>
      <c r="BD16" s="541">
        <v>16151.794282176803</v>
      </c>
      <c r="BE16" s="541">
        <f t="shared" si="3"/>
        <v>3190.14</v>
      </c>
      <c r="BG16" s="723" t="s">
        <v>554</v>
      </c>
      <c r="BH16" s="563"/>
      <c r="BI16" s="563"/>
      <c r="BJ16" s="563"/>
      <c r="BK16" s="563">
        <v>773937</v>
      </c>
      <c r="BL16" s="563">
        <f t="shared" si="6"/>
        <v>773937</v>
      </c>
    </row>
    <row r="17" spans="1:64" ht="14.25">
      <c r="A17" s="586" t="s">
        <v>456</v>
      </c>
      <c r="B17" s="586" t="s">
        <v>77</v>
      </c>
      <c r="C17" s="692">
        <v>30755.819999999996</v>
      </c>
      <c r="F17" s="533" t="s">
        <v>634</v>
      </c>
      <c r="G17" s="541">
        <v>240691.95</v>
      </c>
      <c r="I17" s="533" t="s">
        <v>638</v>
      </c>
      <c r="J17" s="541">
        <v>5753.88</v>
      </c>
      <c r="L17" s="533" t="s">
        <v>638</v>
      </c>
      <c r="M17" s="541">
        <v>11676.48</v>
      </c>
      <c r="O17" s="533" t="s">
        <v>639</v>
      </c>
      <c r="P17" s="541">
        <v>42500.93</v>
      </c>
      <c r="R17" s="533" t="s">
        <v>639</v>
      </c>
      <c r="S17" s="541">
        <v>671641.0900000001</v>
      </c>
      <c r="U17" s="533" t="s">
        <v>634</v>
      </c>
      <c r="V17" s="541">
        <v>10897.43</v>
      </c>
      <c r="X17" s="699"/>
      <c r="Y17" s="700"/>
      <c r="Z17" s="701"/>
      <c r="AB17" s="533" t="s">
        <v>638</v>
      </c>
      <c r="AC17" s="541">
        <v>17789.890000000003</v>
      </c>
      <c r="AD17" s="541">
        <v>53369.67000000001</v>
      </c>
      <c r="AE17" s="563"/>
      <c r="AF17" s="568"/>
      <c r="AG17" s="568"/>
      <c r="AH17" s="533" t="s">
        <v>467</v>
      </c>
      <c r="AI17" s="541">
        <v>46305.58</v>
      </c>
      <c r="AJ17" s="716" t="s">
        <v>584</v>
      </c>
      <c r="AK17" s="1054" t="s">
        <v>781</v>
      </c>
      <c r="AL17" s="667">
        <f>BF45</f>
        <v>23795.18064191762</v>
      </c>
      <c r="AM17" s="719">
        <f>BD45</f>
        <v>955100.4771681716</v>
      </c>
      <c r="AN17" s="719">
        <f>BE45</f>
        <v>188641.90607187382</v>
      </c>
      <c r="AO17" s="563"/>
      <c r="AQ17" s="652" t="s">
        <v>601</v>
      </c>
      <c r="AR17" s="563">
        <v>347362.499920668</v>
      </c>
      <c r="AS17" s="541">
        <f t="shared" si="0"/>
        <v>68607.57</v>
      </c>
      <c r="AU17" s="652"/>
      <c r="AV17" s="563"/>
      <c r="AW17" s="541"/>
      <c r="AX17" s="541"/>
      <c r="AY17" s="652" t="s">
        <v>610</v>
      </c>
      <c r="AZ17" s="541">
        <v>1147209.1149272122</v>
      </c>
      <c r="BA17" s="541">
        <f t="shared" si="2"/>
        <v>226585.27</v>
      </c>
      <c r="BC17" s="652" t="s">
        <v>464</v>
      </c>
      <c r="BD17" s="541">
        <v>23502.04145522333</v>
      </c>
      <c r="BE17" s="541">
        <f t="shared" si="3"/>
        <v>4641.89</v>
      </c>
      <c r="BG17" s="723" t="s">
        <v>704</v>
      </c>
      <c r="BH17" s="563"/>
      <c r="BI17" s="563"/>
      <c r="BJ17" s="563"/>
      <c r="BK17" s="563">
        <f>9170+208112+1252306+57662+13142-973995</f>
        <v>566397</v>
      </c>
      <c r="BL17" s="563">
        <f t="shared" si="6"/>
        <v>566397</v>
      </c>
    </row>
    <row r="18" spans="1:64" ht="14.25">
      <c r="A18" s="586" t="s">
        <v>433</v>
      </c>
      <c r="B18" s="586" t="s">
        <v>791</v>
      </c>
      <c r="C18" s="709">
        <v>245465.70000000004</v>
      </c>
      <c r="F18" s="533" t="s">
        <v>635</v>
      </c>
      <c r="G18" s="541">
        <v>12950.529999999999</v>
      </c>
      <c r="I18" s="533" t="s">
        <v>639</v>
      </c>
      <c r="J18" s="541">
        <v>863.5999999999999</v>
      </c>
      <c r="L18" s="533" t="s">
        <v>639</v>
      </c>
      <c r="M18" s="541">
        <v>6372.530000000001</v>
      </c>
      <c r="O18" s="533" t="s">
        <v>640</v>
      </c>
      <c r="P18" s="541">
        <v>3312.47</v>
      </c>
      <c r="R18" s="533" t="s">
        <v>642</v>
      </c>
      <c r="S18" s="541">
        <v>10805.130000000001</v>
      </c>
      <c r="U18" s="533" t="s">
        <v>652</v>
      </c>
      <c r="V18" s="541">
        <v>1412.19</v>
      </c>
      <c r="X18" s="699"/>
      <c r="Y18" s="700"/>
      <c r="Z18" s="701"/>
      <c r="AB18" s="533" t="s">
        <v>639</v>
      </c>
      <c r="AC18" s="541">
        <v>619.5874999999997</v>
      </c>
      <c r="AD18" s="541">
        <v>1858.7624999999994</v>
      </c>
      <c r="AE18" s="563"/>
      <c r="AF18" s="568"/>
      <c r="AG18" s="568"/>
      <c r="AH18" s="533" t="s">
        <v>468</v>
      </c>
      <c r="AI18" s="541">
        <v>26784.98</v>
      </c>
      <c r="AK18" s="776" t="s">
        <v>537</v>
      </c>
      <c r="AL18" s="667">
        <v>19047.262000000002</v>
      </c>
      <c r="AM18" s="719">
        <v>461691.13452847116</v>
      </c>
      <c r="AN18" s="541">
        <f t="shared" si="5"/>
        <v>91188.62</v>
      </c>
      <c r="AO18" s="563"/>
      <c r="AQ18" s="652" t="s">
        <v>667</v>
      </c>
      <c r="AR18" s="563">
        <v>49259.488199104</v>
      </c>
      <c r="AS18" s="541">
        <f t="shared" si="0"/>
        <v>9729.24</v>
      </c>
      <c r="AU18" s="652"/>
      <c r="AV18" s="563"/>
      <c r="AW18" s="541"/>
      <c r="AX18" s="541"/>
      <c r="AY18" s="652" t="s">
        <v>768</v>
      </c>
      <c r="AZ18" s="541">
        <v>30508.1271405693</v>
      </c>
      <c r="BA18" s="541">
        <f t="shared" si="2"/>
        <v>6025.66</v>
      </c>
      <c r="BC18" s="652" t="s">
        <v>465</v>
      </c>
      <c r="BD18" s="541">
        <v>35592.97444915118</v>
      </c>
      <c r="BE18" s="541">
        <f t="shared" si="3"/>
        <v>7029.97</v>
      </c>
      <c r="BG18" s="723" t="s">
        <v>555</v>
      </c>
      <c r="BH18" s="563"/>
      <c r="BI18" s="563"/>
      <c r="BJ18" s="563"/>
      <c r="BK18" s="563">
        <v>112189</v>
      </c>
      <c r="BL18" s="563">
        <f t="shared" si="6"/>
        <v>112189</v>
      </c>
    </row>
    <row r="19" spans="1:64" ht="14.25">
      <c r="A19" s="577" t="s">
        <v>792</v>
      </c>
      <c r="B19" s="577" t="s">
        <v>786</v>
      </c>
      <c r="C19" s="692">
        <v>13832</v>
      </c>
      <c r="F19" s="533" t="s">
        <v>636</v>
      </c>
      <c r="G19" s="541">
        <v>13823.480000000001</v>
      </c>
      <c r="I19" s="533" t="s">
        <v>640</v>
      </c>
      <c r="J19" s="541">
        <v>6774.450000000002</v>
      </c>
      <c r="L19" s="533" t="s">
        <v>640</v>
      </c>
      <c r="M19" s="541">
        <v>7159.240000000001</v>
      </c>
      <c r="O19" s="533" t="s">
        <v>641</v>
      </c>
      <c r="P19" s="541">
        <v>211.89999999999998</v>
      </c>
      <c r="R19" s="533" t="s">
        <v>643</v>
      </c>
      <c r="S19" s="541">
        <v>82472.32999999999</v>
      </c>
      <c r="U19" s="533" t="s">
        <v>635</v>
      </c>
      <c r="V19" s="541">
        <v>33923.200000000004</v>
      </c>
      <c r="X19" s="699"/>
      <c r="Y19" s="700"/>
      <c r="Z19" s="701"/>
      <c r="AB19" s="533" t="s">
        <v>640</v>
      </c>
      <c r="AC19" s="541">
        <v>9178.72</v>
      </c>
      <c r="AD19" s="541">
        <v>27536.159999999996</v>
      </c>
      <c r="AE19" s="563"/>
      <c r="AF19" s="568"/>
      <c r="AG19" s="568"/>
      <c r="AH19" s="533" t="s">
        <v>469</v>
      </c>
      <c r="AI19" s="541">
        <v>44161.86</v>
      </c>
      <c r="AK19" s="776" t="s">
        <v>538</v>
      </c>
      <c r="AL19" s="667">
        <v>2080</v>
      </c>
      <c r="AM19" s="719">
        <v>67174.00200040943</v>
      </c>
      <c r="AN19" s="541">
        <f t="shared" si="5"/>
        <v>13267.54</v>
      </c>
      <c r="AO19" s="563"/>
      <c r="AQ19" s="652" t="s">
        <v>694</v>
      </c>
      <c r="AR19" s="563">
        <v>294328.0956116303</v>
      </c>
      <c r="AS19" s="541">
        <f t="shared" si="0"/>
        <v>58132.74</v>
      </c>
      <c r="AU19" s="652"/>
      <c r="AV19" s="563"/>
      <c r="AW19" s="541"/>
      <c r="AX19" s="541"/>
      <c r="AY19" s="652" t="s">
        <v>770</v>
      </c>
      <c r="AZ19" s="541">
        <v>29478.0548103251</v>
      </c>
      <c r="BA19" s="541">
        <f t="shared" si="2"/>
        <v>5822.21</v>
      </c>
      <c r="BC19" s="652" t="s">
        <v>466</v>
      </c>
      <c r="BD19" s="541">
        <v>10765.053788671703</v>
      </c>
      <c r="BE19" s="541">
        <f t="shared" si="3"/>
        <v>2126.21</v>
      </c>
      <c r="BG19" s="723" t="s">
        <v>556</v>
      </c>
      <c r="BH19" s="563"/>
      <c r="BI19" s="563"/>
      <c r="BJ19" s="563"/>
      <c r="BK19" s="563">
        <v>38396</v>
      </c>
      <c r="BL19" s="563">
        <f t="shared" si="6"/>
        <v>38396</v>
      </c>
    </row>
    <row r="20" spans="1:64" ht="14.25">
      <c r="A20" s="586" t="s">
        <v>421</v>
      </c>
      <c r="B20" s="586" t="s">
        <v>414</v>
      </c>
      <c r="C20" s="709">
        <f>J35</f>
        <v>1073461.6999999997</v>
      </c>
      <c r="D20" s="777"/>
      <c r="E20" s="777"/>
      <c r="F20" s="533" t="s">
        <v>637</v>
      </c>
      <c r="G20" s="541">
        <v>309120.66000000003</v>
      </c>
      <c r="I20" s="533" t="s">
        <v>641</v>
      </c>
      <c r="J20" s="541">
        <v>8518.779999999999</v>
      </c>
      <c r="L20" s="533" t="s">
        <v>641</v>
      </c>
      <c r="M20" s="541">
        <v>4401.71</v>
      </c>
      <c r="O20" s="533" t="s">
        <v>642</v>
      </c>
      <c r="P20" s="541">
        <v>3150</v>
      </c>
      <c r="R20" s="533" t="s">
        <v>655</v>
      </c>
      <c r="S20" s="541">
        <v>703194.67</v>
      </c>
      <c r="U20" s="533" t="s">
        <v>636</v>
      </c>
      <c r="V20" s="541">
        <v>7221.68</v>
      </c>
      <c r="X20" s="699"/>
      <c r="Y20" s="702"/>
      <c r="Z20" s="703"/>
      <c r="AB20" s="533" t="s">
        <v>691</v>
      </c>
      <c r="AC20" s="541">
        <v>4994.494999999999</v>
      </c>
      <c r="AD20" s="541">
        <v>14983.484999999997</v>
      </c>
      <c r="AE20" s="563"/>
      <c r="AF20" s="568"/>
      <c r="AG20" s="568"/>
      <c r="AH20" s="533" t="s">
        <v>470</v>
      </c>
      <c r="AI20" s="541">
        <v>149807.4</v>
      </c>
      <c r="AK20" s="776" t="s">
        <v>495</v>
      </c>
      <c r="AL20" s="667">
        <v>48.5</v>
      </c>
      <c r="AM20" s="719">
        <v>933.0984826968484</v>
      </c>
      <c r="AN20" s="541">
        <f t="shared" si="5"/>
        <v>184.3</v>
      </c>
      <c r="AO20" s="563"/>
      <c r="AQ20" s="652" t="s">
        <v>602</v>
      </c>
      <c r="AR20" s="563">
        <v>1745017.2285848905</v>
      </c>
      <c r="AS20" s="541">
        <f t="shared" si="0"/>
        <v>344658.35</v>
      </c>
      <c r="AU20" s="652"/>
      <c r="AV20" s="563"/>
      <c r="AW20" s="541"/>
      <c r="AX20" s="541"/>
      <c r="AY20" s="652" t="s">
        <v>674</v>
      </c>
      <c r="AZ20" s="541">
        <v>60254.2238536027</v>
      </c>
      <c r="BA20" s="541">
        <f t="shared" si="2"/>
        <v>11900.81</v>
      </c>
      <c r="BC20" s="652" t="s">
        <v>467</v>
      </c>
      <c r="BD20" s="541">
        <v>51901.18078937863</v>
      </c>
      <c r="BE20" s="541">
        <f t="shared" si="3"/>
        <v>10251</v>
      </c>
      <c r="BG20" s="723" t="s">
        <v>700</v>
      </c>
      <c r="BH20" s="563"/>
      <c r="BI20" s="563"/>
      <c r="BJ20" s="563"/>
      <c r="BK20" s="563">
        <v>640400</v>
      </c>
      <c r="BL20" s="563">
        <f t="shared" si="6"/>
        <v>640400</v>
      </c>
    </row>
    <row r="21" spans="1:64" ht="14.25">
      <c r="A21" s="586" t="s">
        <v>424</v>
      </c>
      <c r="B21" s="784" t="s">
        <v>788</v>
      </c>
      <c r="C21" s="709">
        <f>J37</f>
        <v>166079.11924066808</v>
      </c>
      <c r="D21" s="777"/>
      <c r="E21" s="777"/>
      <c r="F21" s="533" t="s">
        <v>638</v>
      </c>
      <c r="G21" s="541">
        <v>145474.33999999997</v>
      </c>
      <c r="I21" s="533" t="s">
        <v>642</v>
      </c>
      <c r="J21" s="541">
        <v>218.9</v>
      </c>
      <c r="L21" s="533" t="s">
        <v>642</v>
      </c>
      <c r="M21" s="541">
        <v>232.06</v>
      </c>
      <c r="O21" s="533" t="s">
        <v>643</v>
      </c>
      <c r="P21" s="541">
        <v>15.76</v>
      </c>
      <c r="R21" s="533" t="s">
        <v>646</v>
      </c>
      <c r="S21" s="541">
        <v>541602.4</v>
      </c>
      <c r="U21" s="533" t="s">
        <v>637</v>
      </c>
      <c r="V21" s="541">
        <v>51156.9</v>
      </c>
      <c r="X21" s="555"/>
      <c r="Y21" s="704"/>
      <c r="Z21" s="555"/>
      <c r="AB21" s="533" t="s">
        <v>641</v>
      </c>
      <c r="AC21" s="541">
        <v>285.1125</v>
      </c>
      <c r="AD21" s="541">
        <v>855.3375000000001</v>
      </c>
      <c r="AE21" s="563"/>
      <c r="AF21" s="568"/>
      <c r="AG21" s="568"/>
      <c r="AH21" s="533" t="s">
        <v>586</v>
      </c>
      <c r="AI21" s="541">
        <v>6251.49</v>
      </c>
      <c r="AJ21" s="716"/>
      <c r="AK21" s="776" t="s">
        <v>539</v>
      </c>
      <c r="AL21" s="667">
        <v>384481.208819</v>
      </c>
      <c r="AM21" s="719">
        <v>15988038.88</v>
      </c>
      <c r="AN21" s="541">
        <f>ROUND(AM21*$AN$3,2)-26.05</f>
        <v>3157771.5100000002</v>
      </c>
      <c r="AO21" s="563"/>
      <c r="AQ21" s="652" t="s">
        <v>603</v>
      </c>
      <c r="AR21" s="563">
        <v>407033.9377509337</v>
      </c>
      <c r="AS21" s="541">
        <f t="shared" si="0"/>
        <v>80393.27</v>
      </c>
      <c r="AU21" s="652"/>
      <c r="AV21" s="563"/>
      <c r="AW21" s="541"/>
      <c r="AX21" s="541"/>
      <c r="AY21" s="652" t="s">
        <v>607</v>
      </c>
      <c r="AZ21" s="541">
        <v>61306.50663502339</v>
      </c>
      <c r="BA21" s="541">
        <f t="shared" si="2"/>
        <v>12108.65</v>
      </c>
      <c r="BC21" s="652" t="s">
        <v>468</v>
      </c>
      <c r="BD21" s="541">
        <v>18006.765160894938</v>
      </c>
      <c r="BE21" s="541">
        <f t="shared" si="3"/>
        <v>3556.52</v>
      </c>
      <c r="BG21" s="723" t="s">
        <v>557</v>
      </c>
      <c r="BH21" s="563">
        <v>0</v>
      </c>
      <c r="BI21" s="563">
        <v>0</v>
      </c>
      <c r="BJ21" s="563">
        <v>0</v>
      </c>
      <c r="BK21" s="563">
        <f>10150+78789</f>
        <v>88939</v>
      </c>
      <c r="BL21" s="563">
        <f>SUM(BH21:BK21)</f>
        <v>88939</v>
      </c>
    </row>
    <row r="22" spans="1:64" ht="13.5" thickBot="1">
      <c r="A22" s="787" t="s">
        <v>424</v>
      </c>
      <c r="B22" s="787" t="s">
        <v>787</v>
      </c>
      <c r="C22" s="792">
        <f>J38</f>
        <v>156796.63999999996</v>
      </c>
      <c r="D22" s="797">
        <f>SUM(C16:C22)</f>
        <v>2263830.9692406678</v>
      </c>
      <c r="E22" s="777"/>
      <c r="F22" s="533" t="s">
        <v>639</v>
      </c>
      <c r="G22" s="541">
        <v>270604.72000000003</v>
      </c>
      <c r="I22" s="533" t="s">
        <v>643</v>
      </c>
      <c r="J22" s="541">
        <v>7267.49</v>
      </c>
      <c r="L22" s="533" t="s">
        <v>643</v>
      </c>
      <c r="M22" s="541">
        <v>6787.14</v>
      </c>
      <c r="O22" s="533" t="s">
        <v>644</v>
      </c>
      <c r="P22" s="541">
        <v>8400</v>
      </c>
      <c r="R22" s="533" t="s">
        <v>647</v>
      </c>
      <c r="S22" s="541">
        <v>76224.83999999998</v>
      </c>
      <c r="U22" s="533" t="s">
        <v>638</v>
      </c>
      <c r="V22" s="541">
        <v>11484.32</v>
      </c>
      <c r="AB22" s="533" t="s">
        <v>642</v>
      </c>
      <c r="AC22" s="541">
        <v>918.4325000000002</v>
      </c>
      <c r="AD22" s="541">
        <v>2755.2975000000006</v>
      </c>
      <c r="AE22" s="563"/>
      <c r="AF22" s="568"/>
      <c r="AG22" s="568"/>
      <c r="AH22" s="533" t="s">
        <v>471</v>
      </c>
      <c r="AI22" s="541">
        <v>1986.47</v>
      </c>
      <c r="AJ22" s="716"/>
      <c r="AK22" s="776"/>
      <c r="AL22" s="541"/>
      <c r="AM22" s="542"/>
      <c r="AN22" s="541"/>
      <c r="AO22" s="569"/>
      <c r="AQ22" s="652" t="s">
        <v>604</v>
      </c>
      <c r="AR22" s="563">
        <v>10069.2501480787</v>
      </c>
      <c r="AS22" s="541">
        <f t="shared" si="0"/>
        <v>1988.78</v>
      </c>
      <c r="AU22" s="652"/>
      <c r="AV22" s="563"/>
      <c r="AW22" s="541"/>
      <c r="AX22" s="541"/>
      <c r="AY22" s="729"/>
      <c r="AZ22" s="667"/>
      <c r="BA22" s="667"/>
      <c r="BC22" s="652" t="s">
        <v>469</v>
      </c>
      <c r="BD22" s="541">
        <v>10765.053788671703</v>
      </c>
      <c r="BE22" s="541">
        <f t="shared" si="3"/>
        <v>2126.21</v>
      </c>
      <c r="BH22" s="563"/>
      <c r="BI22" s="563"/>
      <c r="BJ22" s="563"/>
      <c r="BL22" s="563">
        <f t="shared" si="6"/>
        <v>0</v>
      </c>
    </row>
    <row r="23" spans="1:64" ht="14.25">
      <c r="A23" s="798" t="s">
        <v>536</v>
      </c>
      <c r="B23" s="798" t="s">
        <v>793</v>
      </c>
      <c r="C23" s="805">
        <f>M44</f>
        <v>445208.17</v>
      </c>
      <c r="D23" s="777"/>
      <c r="E23" s="777"/>
      <c r="F23" s="533" t="s">
        <v>640</v>
      </c>
      <c r="G23" s="541">
        <v>80718.98</v>
      </c>
      <c r="I23" s="533" t="s">
        <v>644</v>
      </c>
      <c r="J23" s="541">
        <v>319017.22</v>
      </c>
      <c r="L23" s="533" t="s">
        <v>644</v>
      </c>
      <c r="M23" s="541">
        <v>265677.79</v>
      </c>
      <c r="O23" s="533" t="s">
        <v>645</v>
      </c>
      <c r="P23" s="541">
        <v>7198.92</v>
      </c>
      <c r="R23" s="533" t="s">
        <v>648</v>
      </c>
      <c r="S23" s="541">
        <v>274955.82999999996</v>
      </c>
      <c r="U23" s="533" t="s">
        <v>639</v>
      </c>
      <c r="V23" s="541">
        <v>96025.89000000001</v>
      </c>
      <c r="AB23" s="533" t="s">
        <v>645</v>
      </c>
      <c r="AC23" s="541">
        <v>86.58</v>
      </c>
      <c r="AD23" s="541">
        <v>259.74</v>
      </c>
      <c r="AE23" s="563"/>
      <c r="AF23" s="568"/>
      <c r="AG23" s="568"/>
      <c r="AH23" s="533" t="s">
        <v>472</v>
      </c>
      <c r="AI23" s="541">
        <v>15666.81</v>
      </c>
      <c r="AJ23" s="716"/>
      <c r="AK23" s="533"/>
      <c r="AL23" s="644">
        <f>SUM(AL5:AL22)</f>
        <v>1902922.4823638524</v>
      </c>
      <c r="AM23" s="644">
        <f>SUM(AM5:AM22)</f>
        <v>74624732.99508038</v>
      </c>
      <c r="AN23" s="644">
        <f>SUM(AN5:AN22)</f>
        <v>14739104.999999998</v>
      </c>
      <c r="AQ23" s="652" t="s">
        <v>605</v>
      </c>
      <c r="AR23" s="563">
        <v>30306.7496691617</v>
      </c>
      <c r="AS23" s="541">
        <f t="shared" si="0"/>
        <v>5985.89</v>
      </c>
      <c r="AU23" s="652"/>
      <c r="AV23" s="563"/>
      <c r="AW23" s="541"/>
      <c r="AX23" s="541"/>
      <c r="AY23" s="729"/>
      <c r="AZ23" s="667"/>
      <c r="BA23" s="667"/>
      <c r="BC23" s="652" t="s">
        <v>470</v>
      </c>
      <c r="BD23" s="541">
        <v>39220.00804515587</v>
      </c>
      <c r="BE23" s="541">
        <f t="shared" si="3"/>
        <v>7746.34</v>
      </c>
      <c r="BG23" s="723"/>
      <c r="BH23" s="563">
        <v>0</v>
      </c>
      <c r="BI23" s="563">
        <v>0</v>
      </c>
      <c r="BJ23" s="563">
        <v>0</v>
      </c>
      <c r="BK23" s="563"/>
      <c r="BL23" s="563">
        <f t="shared" si="6"/>
        <v>0</v>
      </c>
    </row>
    <row r="24" spans="1:64" ht="15" thickBot="1">
      <c r="A24" s="621" t="s">
        <v>619</v>
      </c>
      <c r="B24" s="621" t="s">
        <v>76</v>
      </c>
      <c r="C24" s="709">
        <v>16820.85</v>
      </c>
      <c r="F24" s="533" t="s">
        <v>689</v>
      </c>
      <c r="G24" s="541">
        <v>127398.83</v>
      </c>
      <c r="I24" s="533" t="s">
        <v>645</v>
      </c>
      <c r="J24" s="541">
        <v>7398.349999999999</v>
      </c>
      <c r="L24" s="533" t="s">
        <v>645</v>
      </c>
      <c r="M24" s="541">
        <v>26696.79</v>
      </c>
      <c r="O24" s="533" t="s">
        <v>647</v>
      </c>
      <c r="P24" s="541">
        <v>2964.12</v>
      </c>
      <c r="R24" s="533"/>
      <c r="S24" s="563"/>
      <c r="U24" s="533" t="s">
        <v>640</v>
      </c>
      <c r="V24" s="541">
        <v>130976.09</v>
      </c>
      <c r="AB24" s="533" t="s">
        <v>647</v>
      </c>
      <c r="AC24" s="541">
        <v>11912.849999999997</v>
      </c>
      <c r="AD24" s="541">
        <v>35738.54999999999</v>
      </c>
      <c r="AE24" s="563"/>
      <c r="AF24" s="568"/>
      <c r="AG24" s="568"/>
      <c r="AH24" s="533" t="s">
        <v>473</v>
      </c>
      <c r="AI24" s="541">
        <v>892.3</v>
      </c>
      <c r="AJ24" s="716"/>
      <c r="AK24" s="774"/>
      <c r="AL24" s="569"/>
      <c r="AM24" s="569"/>
      <c r="AN24" s="569"/>
      <c r="AO24" s="569"/>
      <c r="AQ24" s="652" t="s">
        <v>668</v>
      </c>
      <c r="AR24" s="563">
        <v>125813.114616892</v>
      </c>
      <c r="AS24" s="541">
        <f t="shared" si="0"/>
        <v>24849.35</v>
      </c>
      <c r="AU24" s="652"/>
      <c r="AV24" s="563"/>
      <c r="AW24" s="541"/>
      <c r="AX24" s="541"/>
      <c r="AY24" s="729"/>
      <c r="AZ24" s="667"/>
      <c r="BA24" s="667"/>
      <c r="BC24" s="652" t="s">
        <v>586</v>
      </c>
      <c r="BD24" s="541">
        <v>150.97712578888576</v>
      </c>
      <c r="BE24" s="541">
        <f t="shared" si="3"/>
        <v>29.82</v>
      </c>
      <c r="BG24" s="637" t="s">
        <v>592</v>
      </c>
      <c r="BH24" s="622">
        <f>SUM(BH5:BH23)</f>
        <v>59368037.75</v>
      </c>
      <c r="BI24" s="622">
        <f>SUM(BI5:BI23)</f>
        <v>7972334</v>
      </c>
      <c r="BJ24" s="622">
        <f>SUM(BJ5:BJ23)</f>
        <v>21275990</v>
      </c>
      <c r="BK24" s="622">
        <f>SUM(BK5:BK23)</f>
        <v>39611713</v>
      </c>
      <c r="BL24" s="594">
        <f>SUM(BL5:BL23)</f>
        <v>128228074.75</v>
      </c>
    </row>
    <row r="25" spans="1:57" ht="15" customHeight="1" thickTop="1">
      <c r="A25" s="586" t="s">
        <v>457</v>
      </c>
      <c r="B25" s="586" t="s">
        <v>77</v>
      </c>
      <c r="C25" s="692">
        <v>21522.730000000003</v>
      </c>
      <c r="F25" s="533" t="s">
        <v>641</v>
      </c>
      <c r="G25" s="541">
        <v>68991.14000000001</v>
      </c>
      <c r="I25" s="533" t="s">
        <v>647</v>
      </c>
      <c r="J25" s="541">
        <v>15402.340000000002</v>
      </c>
      <c r="L25" s="533" t="s">
        <v>646</v>
      </c>
      <c r="M25" s="541">
        <v>5999.62</v>
      </c>
      <c r="O25" s="533" t="s">
        <v>648</v>
      </c>
      <c r="P25" s="541">
        <v>611.67</v>
      </c>
      <c r="R25" s="533"/>
      <c r="S25" s="563"/>
      <c r="U25" s="533" t="s">
        <v>641</v>
      </c>
      <c r="V25" s="541">
        <v>3474.17</v>
      </c>
      <c r="AB25" s="533" t="s">
        <v>648</v>
      </c>
      <c r="AC25" s="541">
        <v>8977.172500000004</v>
      </c>
      <c r="AD25" s="541">
        <v>26931.517500000013</v>
      </c>
      <c r="AE25" s="563"/>
      <c r="AF25" s="568"/>
      <c r="AG25" s="568"/>
      <c r="AH25" s="533" t="s">
        <v>474</v>
      </c>
      <c r="AI25" s="541">
        <v>73.17</v>
      </c>
      <c r="AJ25" s="716"/>
      <c r="AK25" s="600" t="s">
        <v>544</v>
      </c>
      <c r="AL25" s="600"/>
      <c r="AM25" s="644">
        <f>C4</f>
        <v>74624733</v>
      </c>
      <c r="AN25" s="644">
        <f>C5</f>
        <v>14739105</v>
      </c>
      <c r="AO25" s="569"/>
      <c r="AQ25" s="652" t="s">
        <v>669</v>
      </c>
      <c r="AR25" s="563">
        <v>70553.6696160732</v>
      </c>
      <c r="AS25" s="541">
        <f t="shared" si="0"/>
        <v>13935.06</v>
      </c>
      <c r="AU25" s="652"/>
      <c r="AV25" s="563"/>
      <c r="AW25" s="541"/>
      <c r="AX25" s="541"/>
      <c r="AY25" s="729"/>
      <c r="AZ25" s="667"/>
      <c r="BA25" s="667"/>
      <c r="BC25" s="652" t="s">
        <v>572</v>
      </c>
      <c r="BD25" s="541">
        <v>17100.586895112727</v>
      </c>
      <c r="BE25" s="541">
        <f t="shared" si="3"/>
        <v>3377.54</v>
      </c>
    </row>
    <row r="26" spans="1:57" ht="15" customHeight="1">
      <c r="A26" s="586" t="s">
        <v>434</v>
      </c>
      <c r="B26" s="586" t="s">
        <v>794</v>
      </c>
      <c r="C26" s="709">
        <v>51161.14</v>
      </c>
      <c r="F26" s="533" t="s">
        <v>642</v>
      </c>
      <c r="G26" s="541">
        <v>9070.75</v>
      </c>
      <c r="I26" s="533" t="s">
        <v>649</v>
      </c>
      <c r="J26" s="541">
        <v>54073.32</v>
      </c>
      <c r="L26" s="533" t="s">
        <v>647</v>
      </c>
      <c r="M26" s="541">
        <v>29612.640000000003</v>
      </c>
      <c r="O26" s="533" t="s">
        <v>649</v>
      </c>
      <c r="P26" s="541">
        <v>13019.74</v>
      </c>
      <c r="R26" s="533"/>
      <c r="S26" s="563"/>
      <c r="U26" s="533" t="s">
        <v>642</v>
      </c>
      <c r="V26" s="541">
        <v>69476.78</v>
      </c>
      <c r="AB26" s="533" t="s">
        <v>649</v>
      </c>
      <c r="AC26" s="541">
        <v>66.465</v>
      </c>
      <c r="AD26" s="541">
        <v>199.395</v>
      </c>
      <c r="AE26" s="563"/>
      <c r="AF26" s="568"/>
      <c r="AG26" s="568"/>
      <c r="AH26" s="533" t="s">
        <v>475</v>
      </c>
      <c r="AI26" s="541">
        <v>1965.48</v>
      </c>
      <c r="AJ26" s="716"/>
      <c r="AK26" s="563"/>
      <c r="AL26" s="563"/>
      <c r="AM26" s="563">
        <f>AM23-AM25</f>
        <v>-0.004919618368148804</v>
      </c>
      <c r="AN26" s="806">
        <f>AN23-AN25</f>
        <v>0</v>
      </c>
      <c r="AO26" s="600"/>
      <c r="AQ26" s="652" t="s">
        <v>448</v>
      </c>
      <c r="AR26" s="563">
        <v>294507.77440410276</v>
      </c>
      <c r="AS26" s="541">
        <f t="shared" si="0"/>
        <v>58168.23</v>
      </c>
      <c r="AU26" s="652"/>
      <c r="AV26" s="563"/>
      <c r="AW26" s="541"/>
      <c r="AX26" s="541"/>
      <c r="AY26" s="729"/>
      <c r="AZ26" s="667"/>
      <c r="BA26" s="667"/>
      <c r="BC26" s="652" t="s">
        <v>499</v>
      </c>
      <c r="BD26" s="541">
        <v>10765.053788671703</v>
      </c>
      <c r="BE26" s="541">
        <f t="shared" si="3"/>
        <v>2126.21</v>
      </c>
    </row>
    <row r="27" spans="1:57" ht="15" customHeight="1">
      <c r="A27" s="586" t="s">
        <v>795</v>
      </c>
      <c r="B27" s="586" t="s">
        <v>786</v>
      </c>
      <c r="C27" s="590">
        <v>45196</v>
      </c>
      <c r="F27" s="533" t="s">
        <v>643</v>
      </c>
      <c r="G27" s="541">
        <v>195278.27000000002</v>
      </c>
      <c r="I27" s="533" t="s">
        <v>650</v>
      </c>
      <c r="J27" s="541">
        <v>51799.520000000004</v>
      </c>
      <c r="L27" s="533" t="s">
        <v>649</v>
      </c>
      <c r="M27" s="541">
        <v>70558.95999999999</v>
      </c>
      <c r="O27" s="533" t="s">
        <v>650</v>
      </c>
      <c r="P27" s="541">
        <v>2645.7400000000002</v>
      </c>
      <c r="R27" s="533"/>
      <c r="S27" s="563"/>
      <c r="U27" s="533" t="s">
        <v>643</v>
      </c>
      <c r="V27" s="541">
        <v>155.84</v>
      </c>
      <c r="AC27" s="563"/>
      <c r="AD27" s="563"/>
      <c r="AE27" s="563"/>
      <c r="AF27" s="568"/>
      <c r="AG27" s="568"/>
      <c r="AH27" s="533" t="s">
        <v>497</v>
      </c>
      <c r="AI27" s="541">
        <v>25139.44</v>
      </c>
      <c r="AJ27" s="716"/>
      <c r="AK27" s="569"/>
      <c r="AL27" s="569"/>
      <c r="AQ27" s="652" t="s">
        <v>695</v>
      </c>
      <c r="AR27" s="563">
        <v>24379.4369711248</v>
      </c>
      <c r="AS27" s="541">
        <f t="shared" si="0"/>
        <v>4815.18</v>
      </c>
      <c r="AU27" s="652"/>
      <c r="AV27" s="563"/>
      <c r="AW27" s="541"/>
      <c r="AX27" s="541"/>
      <c r="AY27" s="729"/>
      <c r="AZ27" s="667"/>
      <c r="BA27" s="667"/>
      <c r="BC27" s="652" t="s">
        <v>501</v>
      </c>
      <c r="BD27" s="541">
        <v>10765.053788671703</v>
      </c>
      <c r="BE27" s="541">
        <f t="shared" si="3"/>
        <v>2126.21</v>
      </c>
    </row>
    <row r="28" spans="1:57" ht="15" customHeight="1" thickBot="1">
      <c r="A28" s="586" t="s">
        <v>422</v>
      </c>
      <c r="B28" s="586" t="s">
        <v>415</v>
      </c>
      <c r="C28" s="709">
        <f>M35</f>
        <v>1047415.93</v>
      </c>
      <c r="D28" s="777">
        <f>M35-C28</f>
        <v>0</v>
      </c>
      <c r="E28" s="777"/>
      <c r="F28" s="533" t="s">
        <v>644</v>
      </c>
      <c r="G28" s="541">
        <v>1653346.75</v>
      </c>
      <c r="I28" s="693"/>
      <c r="L28" s="533" t="s">
        <v>650</v>
      </c>
      <c r="M28" s="541">
        <v>14228.320000000003</v>
      </c>
      <c r="O28" s="533"/>
      <c r="P28" s="563"/>
      <c r="R28" s="533"/>
      <c r="S28" s="563"/>
      <c r="U28" s="533" t="s">
        <v>644</v>
      </c>
      <c r="V28" s="541">
        <v>54674.35</v>
      </c>
      <c r="AB28" s="574" t="s">
        <v>427</v>
      </c>
      <c r="AC28" s="592">
        <f>SUM(AC3:AC27)</f>
        <v>166824.35749999998</v>
      </c>
      <c r="AD28" s="592">
        <f>SUM(AD3:AD27)</f>
        <v>500473.0725</v>
      </c>
      <c r="AE28" s="778">
        <f>+AC28+AD28</f>
        <v>667297.4299999999</v>
      </c>
      <c r="AF28" s="568"/>
      <c r="AG28" s="568"/>
      <c r="AH28" s="533" t="s">
        <v>498</v>
      </c>
      <c r="AI28" s="541">
        <v>4250.3</v>
      </c>
      <c r="AJ28" s="716"/>
      <c r="AK28" s="603" t="s">
        <v>565</v>
      </c>
      <c r="AM28" s="612" t="s">
        <v>566</v>
      </c>
      <c r="AQ28" s="652" t="s">
        <v>686</v>
      </c>
      <c r="AR28" s="563">
        <v>329699.2318366315</v>
      </c>
      <c r="AS28" s="541">
        <f t="shared" si="0"/>
        <v>65118.9</v>
      </c>
      <c r="AU28" s="652"/>
      <c r="AV28" s="563"/>
      <c r="AW28" s="541"/>
      <c r="AX28" s="541"/>
      <c r="AY28" s="729"/>
      <c r="AZ28" s="667"/>
      <c r="BA28" s="667"/>
      <c r="BC28" s="652" t="s">
        <v>502</v>
      </c>
      <c r="BD28" s="541">
        <v>117.441354623025</v>
      </c>
      <c r="BE28" s="541">
        <f t="shared" si="3"/>
        <v>23.2</v>
      </c>
    </row>
    <row r="29" spans="1:57" ht="15" customHeight="1" thickTop="1">
      <c r="A29" s="586" t="s">
        <v>424</v>
      </c>
      <c r="B29" s="784" t="s">
        <v>788</v>
      </c>
      <c r="C29" s="709">
        <f>M37</f>
        <v>542378.2696159302</v>
      </c>
      <c r="D29" s="777"/>
      <c r="E29" s="777"/>
      <c r="F29" s="533" t="s">
        <v>645</v>
      </c>
      <c r="G29" s="541">
        <v>116095.20999999999</v>
      </c>
      <c r="L29" s="533"/>
      <c r="M29" s="541"/>
      <c r="O29" s="693"/>
      <c r="P29" s="563"/>
      <c r="R29" s="533"/>
      <c r="S29" s="563"/>
      <c r="U29" s="533" t="s">
        <v>645</v>
      </c>
      <c r="V29" s="541">
        <v>12564.69</v>
      </c>
      <c r="AC29" s="563"/>
      <c r="AD29" s="563"/>
      <c r="AE29" s="563"/>
      <c r="AF29" s="568"/>
      <c r="AG29" s="568"/>
      <c r="AH29" s="533" t="s">
        <v>499</v>
      </c>
      <c r="AI29" s="541">
        <v>17873.94</v>
      </c>
      <c r="AJ29" s="716"/>
      <c r="AK29" s="640" t="s">
        <v>660</v>
      </c>
      <c r="AM29" s="563">
        <v>72807934</v>
      </c>
      <c r="AQ29" s="652" t="s">
        <v>696</v>
      </c>
      <c r="AR29" s="563">
        <v>192697.77975434728</v>
      </c>
      <c r="AS29" s="541">
        <f t="shared" si="0"/>
        <v>38059.74</v>
      </c>
      <c r="AU29" s="652"/>
      <c r="AV29" s="563"/>
      <c r="AW29" s="541"/>
      <c r="AX29" s="541"/>
      <c r="AY29" s="729"/>
      <c r="AZ29" s="667"/>
      <c r="BA29" s="667"/>
      <c r="BC29" s="652" t="s">
        <v>503</v>
      </c>
      <c r="BD29" s="541">
        <v>117.441354623025</v>
      </c>
      <c r="BE29" s="541">
        <f t="shared" si="3"/>
        <v>23.2</v>
      </c>
    </row>
    <row r="30" spans="1:57" ht="15" customHeight="1">
      <c r="A30" s="586" t="s">
        <v>424</v>
      </c>
      <c r="B30" s="586" t="s">
        <v>787</v>
      </c>
      <c r="C30" s="709">
        <f>M38</f>
        <v>307026.3925000001</v>
      </c>
      <c r="D30" s="777"/>
      <c r="E30" s="777"/>
      <c r="F30" s="533" t="s">
        <v>646</v>
      </c>
      <c r="G30" s="541">
        <v>898628.07</v>
      </c>
      <c r="L30" s="693"/>
      <c r="M30" s="563"/>
      <c r="O30" s="533"/>
      <c r="P30" s="563"/>
      <c r="R30" s="533"/>
      <c r="S30" s="563"/>
      <c r="U30" s="533" t="s">
        <v>647</v>
      </c>
      <c r="V30" s="541">
        <v>3868.22</v>
      </c>
      <c r="AC30" s="563"/>
      <c r="AD30" s="563"/>
      <c r="AE30" s="563"/>
      <c r="AF30" s="568"/>
      <c r="AG30" s="568"/>
      <c r="AH30" s="533" t="s">
        <v>500</v>
      </c>
      <c r="AI30" s="541">
        <v>25185.76</v>
      </c>
      <c r="AJ30" s="716"/>
      <c r="AK30" s="640" t="s">
        <v>661</v>
      </c>
      <c r="AM30" s="563">
        <v>1816800</v>
      </c>
      <c r="AQ30" s="652" t="s">
        <v>697</v>
      </c>
      <c r="AR30" s="563">
        <v>46470.4315934392</v>
      </c>
      <c r="AS30" s="541">
        <f t="shared" si="0"/>
        <v>9178.37</v>
      </c>
      <c r="AU30" s="652"/>
      <c r="AV30" s="563"/>
      <c r="AW30" s="541"/>
      <c r="AX30" s="541"/>
      <c r="AY30" s="668"/>
      <c r="AZ30" s="709"/>
      <c r="BA30" s="709"/>
      <c r="BC30" s="652" t="s">
        <v>504</v>
      </c>
      <c r="BD30" s="541">
        <v>10765.053788671703</v>
      </c>
      <c r="BE30" s="541">
        <f t="shared" si="3"/>
        <v>2126.21</v>
      </c>
    </row>
    <row r="31" spans="1:57" ht="15" customHeight="1" thickBot="1">
      <c r="A31" s="793" t="s">
        <v>422</v>
      </c>
      <c r="B31" s="793" t="s">
        <v>796</v>
      </c>
      <c r="C31" s="791">
        <f>AD28</f>
        <v>500473.0725</v>
      </c>
      <c r="D31" s="797">
        <f>SUM(C24:C31)</f>
        <v>2531994.3846159307</v>
      </c>
      <c r="E31" s="777"/>
      <c r="F31" s="533" t="s">
        <v>647</v>
      </c>
      <c r="G31" s="541">
        <v>733806.4099999999</v>
      </c>
      <c r="O31" s="533"/>
      <c r="P31" s="563"/>
      <c r="R31" s="533"/>
      <c r="S31" s="563"/>
      <c r="U31" s="533" t="s">
        <v>648</v>
      </c>
      <c r="V31" s="541">
        <v>92268.65000000001</v>
      </c>
      <c r="AC31" s="563"/>
      <c r="AD31" s="563"/>
      <c r="AE31" s="563"/>
      <c r="AF31" s="568"/>
      <c r="AG31" s="568"/>
      <c r="AH31" s="533" t="s">
        <v>501</v>
      </c>
      <c r="AI31" s="541">
        <v>19103.49</v>
      </c>
      <c r="AJ31" s="716"/>
      <c r="AQ31" s="652" t="s">
        <v>606</v>
      </c>
      <c r="AR31" s="563">
        <v>852221.5414673531</v>
      </c>
      <c r="AS31" s="541">
        <f t="shared" si="0"/>
        <v>168322.28</v>
      </c>
      <c r="AU31" s="652"/>
      <c r="AV31" s="563"/>
      <c r="AW31" s="541"/>
      <c r="AX31" s="541"/>
      <c r="AY31" s="668"/>
      <c r="AZ31" s="709"/>
      <c r="BA31" s="709"/>
      <c r="BC31" s="652" t="s">
        <v>505</v>
      </c>
      <c r="BD31" s="541">
        <v>32294.927277172366</v>
      </c>
      <c r="BE31" s="541">
        <f t="shared" si="3"/>
        <v>6378.57</v>
      </c>
    </row>
    <row r="32" spans="1:57" ht="15" customHeight="1" thickBot="1">
      <c r="A32" s="794" t="s">
        <v>797</v>
      </c>
      <c r="B32" s="794" t="s">
        <v>416</v>
      </c>
      <c r="C32" s="799">
        <f>P36</f>
        <v>194322.24</v>
      </c>
      <c r="F32" s="533" t="s">
        <v>649</v>
      </c>
      <c r="G32" s="541">
        <v>682256.1600000001</v>
      </c>
      <c r="K32" s="540"/>
      <c r="L32" s="558"/>
      <c r="M32" s="558"/>
      <c r="O32" s="533"/>
      <c r="P32" s="563"/>
      <c r="R32" s="533"/>
      <c r="S32" s="563"/>
      <c r="U32" s="533" t="s">
        <v>649</v>
      </c>
      <c r="V32" s="541">
        <v>17405.21</v>
      </c>
      <c r="AC32" s="563"/>
      <c r="AD32" s="563"/>
      <c r="AE32" s="563"/>
      <c r="AF32" s="568"/>
      <c r="AG32" s="568"/>
      <c r="AH32" s="533" t="s">
        <v>502</v>
      </c>
      <c r="AI32" s="541">
        <v>14686.92</v>
      </c>
      <c r="AJ32" s="716"/>
      <c r="AK32" s="574" t="s">
        <v>562</v>
      </c>
      <c r="AL32" s="538"/>
      <c r="AM32" s="613">
        <f>SUM(AM29:AM30)</f>
        <v>74624734</v>
      </c>
      <c r="AQ32" s="652" t="s">
        <v>670</v>
      </c>
      <c r="AR32" s="563">
        <v>142688.9660452026</v>
      </c>
      <c r="AS32" s="541">
        <f t="shared" si="0"/>
        <v>28182.5</v>
      </c>
      <c r="AU32" s="652"/>
      <c r="AV32" s="563"/>
      <c r="AW32" s="541"/>
      <c r="AX32" s="541"/>
      <c r="AY32" s="668"/>
      <c r="AZ32" s="709"/>
      <c r="BA32" s="709"/>
      <c r="BC32" s="652" t="s">
        <v>515</v>
      </c>
      <c r="BD32" s="541">
        <v>32294.927277172366</v>
      </c>
      <c r="BE32" s="541">
        <f t="shared" si="3"/>
        <v>6378.57</v>
      </c>
    </row>
    <row r="33" spans="1:57" ht="15" customHeight="1">
      <c r="A33" s="586" t="s">
        <v>435</v>
      </c>
      <c r="B33" s="586" t="s">
        <v>105</v>
      </c>
      <c r="C33" s="638">
        <v>207268.74</v>
      </c>
      <c r="F33" s="533" t="s">
        <v>650</v>
      </c>
      <c r="G33" s="541">
        <v>272542.62</v>
      </c>
      <c r="K33" s="540"/>
      <c r="L33" s="558"/>
      <c r="M33" s="558"/>
      <c r="O33" s="533"/>
      <c r="P33" s="563"/>
      <c r="R33" s="533"/>
      <c r="S33" s="563"/>
      <c r="U33" s="533" t="s">
        <v>650</v>
      </c>
      <c r="V33" s="541">
        <v>1815.42</v>
      </c>
      <c r="AC33" s="563"/>
      <c r="AD33" s="563"/>
      <c r="AE33" s="563"/>
      <c r="AF33" s="568"/>
      <c r="AG33" s="568"/>
      <c r="AH33" s="533" t="s">
        <v>503</v>
      </c>
      <c r="AI33" s="541">
        <v>10125.76</v>
      </c>
      <c r="AJ33" s="716"/>
      <c r="AK33" s="596"/>
      <c r="AM33" s="563"/>
      <c r="AQ33" s="652" t="s">
        <v>607</v>
      </c>
      <c r="AR33" s="563">
        <v>540262.0026716412</v>
      </c>
      <c r="AS33" s="541">
        <f t="shared" si="0"/>
        <v>106707.15</v>
      </c>
      <c r="AU33" s="652"/>
      <c r="AV33" s="563"/>
      <c r="AW33" s="541"/>
      <c r="AX33" s="541"/>
      <c r="AY33" s="668"/>
      <c r="AZ33" s="709"/>
      <c r="BA33" s="709"/>
      <c r="BC33" s="652" t="s">
        <v>518</v>
      </c>
      <c r="BD33" s="541">
        <v>10765.053788671703</v>
      </c>
      <c r="BE33" s="541">
        <f t="shared" si="3"/>
        <v>2126.21</v>
      </c>
    </row>
    <row r="34" spans="1:57" ht="15" customHeight="1">
      <c r="A34" s="586" t="s">
        <v>436</v>
      </c>
      <c r="B34" s="586" t="s">
        <v>106</v>
      </c>
      <c r="C34" s="638">
        <v>516273.87</v>
      </c>
      <c r="F34" s="619"/>
      <c r="G34" s="563"/>
      <c r="O34" s="533"/>
      <c r="P34" s="563"/>
      <c r="R34" s="533"/>
      <c r="S34" s="563"/>
      <c r="U34" s="533"/>
      <c r="V34" s="563"/>
      <c r="AC34" s="563"/>
      <c r="AD34" s="563"/>
      <c r="AE34" s="563"/>
      <c r="AF34" s="568"/>
      <c r="AG34" s="568"/>
      <c r="AH34" s="533" t="s">
        <v>504</v>
      </c>
      <c r="AI34" s="541">
        <v>461.63</v>
      </c>
      <c r="AJ34" s="716"/>
      <c r="AK34" s="596" t="s">
        <v>563</v>
      </c>
      <c r="AM34" s="541">
        <v>74624734</v>
      </c>
      <c r="AQ34" s="652" t="s">
        <v>609</v>
      </c>
      <c r="AR34" s="563">
        <v>89327.0810549277</v>
      </c>
      <c r="AS34" s="541">
        <f t="shared" si="0"/>
        <v>17642.99</v>
      </c>
      <c r="AT34" s="640"/>
      <c r="AU34" s="652"/>
      <c r="AV34" s="563"/>
      <c r="AW34" s="541"/>
      <c r="AX34" s="541"/>
      <c r="AY34" s="668"/>
      <c r="AZ34" s="709"/>
      <c r="BA34" s="709"/>
      <c r="BC34" s="652" t="s">
        <v>524</v>
      </c>
      <c r="BD34" s="541">
        <v>10765.053788671703</v>
      </c>
      <c r="BE34" s="541">
        <f t="shared" si="3"/>
        <v>2126.21</v>
      </c>
    </row>
    <row r="35" spans="1:57" ht="15" customHeight="1" thickBot="1">
      <c r="A35" s="586" t="s">
        <v>437</v>
      </c>
      <c r="B35" s="586" t="s">
        <v>167</v>
      </c>
      <c r="C35" s="638">
        <v>1305153.25</v>
      </c>
      <c r="F35" s="570" t="s">
        <v>427</v>
      </c>
      <c r="G35" s="778">
        <f>SUM(G4:G34)</f>
        <v>7794759.5600000005</v>
      </c>
      <c r="I35" s="776" t="s">
        <v>427</v>
      </c>
      <c r="J35" s="779">
        <f>SUM(J4:J28)</f>
        <v>1073461.6999999997</v>
      </c>
      <c r="L35" s="776" t="s">
        <v>427</v>
      </c>
      <c r="M35" s="779">
        <f>SUM(M4:M33)</f>
        <v>1047415.93</v>
      </c>
      <c r="U35" s="533"/>
      <c r="V35" s="563"/>
      <c r="AC35" s="563"/>
      <c r="AD35" s="563"/>
      <c r="AE35" s="563"/>
      <c r="AF35" s="568"/>
      <c r="AG35" s="568"/>
      <c r="AH35" s="533" t="s">
        <v>505</v>
      </c>
      <c r="AI35" s="541">
        <v>271.89</v>
      </c>
      <c r="AJ35" s="716"/>
      <c r="AK35" s="596" t="s">
        <v>564</v>
      </c>
      <c r="AM35" s="541">
        <f>+AM32-AM34</f>
        <v>0</v>
      </c>
      <c r="AQ35" s="559" t="s">
        <v>771</v>
      </c>
      <c r="AR35" s="730">
        <f>SUM(AR4:AR34)</f>
        <v>10838570.94244751</v>
      </c>
      <c r="AS35" s="730">
        <f>SUM(AS4:AS34)</f>
        <v>2140726.1500000004</v>
      </c>
      <c r="AU35" s="559" t="s">
        <v>567</v>
      </c>
      <c r="AV35" s="733">
        <f>SUM(AV4:AV11)</f>
        <v>1407686.5134735452</v>
      </c>
      <c r="AW35" s="733">
        <f>SUM(AW4:AW11)</f>
        <v>278032.17000000004</v>
      </c>
      <c r="AX35" s="541"/>
      <c r="AY35" s="538" t="s">
        <v>569</v>
      </c>
      <c r="AZ35" s="733">
        <f>SUM(AZ4:AZ30)</f>
        <v>4031579.635652142</v>
      </c>
      <c r="BA35" s="733">
        <f>SUM(BA4:BA30)</f>
        <v>796277.2800000001</v>
      </c>
      <c r="BC35" s="652" t="s">
        <v>525</v>
      </c>
      <c r="BD35" s="541">
        <v>10764.23956661001</v>
      </c>
      <c r="BE35" s="541">
        <f t="shared" si="3"/>
        <v>2126.04</v>
      </c>
    </row>
    <row r="36" spans="1:57" ht="15" customHeight="1" thickBot="1" thickTop="1">
      <c r="A36" s="586" t="s">
        <v>438</v>
      </c>
      <c r="B36" s="586" t="s">
        <v>108</v>
      </c>
      <c r="C36" s="638">
        <v>184082.16</v>
      </c>
      <c r="G36" s="780"/>
      <c r="H36" s="773"/>
      <c r="I36" s="772"/>
      <c r="J36" s="780"/>
      <c r="K36" s="773"/>
      <c r="L36" s="585"/>
      <c r="M36" s="584"/>
      <c r="O36" s="570" t="s">
        <v>427</v>
      </c>
      <c r="P36" s="592">
        <f>SUM(P4:P34)</f>
        <v>194322.24</v>
      </c>
      <c r="R36" s="570" t="s">
        <v>427</v>
      </c>
      <c r="S36" s="592">
        <f>SUM(S4:S34)</f>
        <v>7580406.940000002</v>
      </c>
      <c r="U36" s="570" t="s">
        <v>427</v>
      </c>
      <c r="V36" s="714">
        <f>SUM(V4:V35)</f>
        <v>1710229.5799999996</v>
      </c>
      <c r="AC36" s="563"/>
      <c r="AD36" s="563"/>
      <c r="AE36" s="563"/>
      <c r="AF36" s="568"/>
      <c r="AG36" s="568"/>
      <c r="AH36" s="533" t="s">
        <v>506</v>
      </c>
      <c r="AI36" s="541">
        <v>3935.23</v>
      </c>
      <c r="AJ36" s="716"/>
      <c r="AK36" s="596"/>
      <c r="AM36" s="563"/>
      <c r="AQ36" s="643" t="s">
        <v>492</v>
      </c>
      <c r="AR36" s="731">
        <f>+BD43</f>
        <v>1764069.7486873753</v>
      </c>
      <c r="AS36" s="731">
        <f>+BE43</f>
        <v>348421.4360595732</v>
      </c>
      <c r="AU36" s="643" t="s">
        <v>492</v>
      </c>
      <c r="AV36" s="734">
        <f>+BD44</f>
        <v>292456.86068277695</v>
      </c>
      <c r="AW36" s="734">
        <f>+BE44</f>
        <v>57763.15786855311</v>
      </c>
      <c r="AX36" s="541"/>
      <c r="AY36" s="643" t="s">
        <v>492</v>
      </c>
      <c r="AZ36" s="734">
        <f>+BD45</f>
        <v>955100.4771681716</v>
      </c>
      <c r="BA36" s="734">
        <f>+BE45</f>
        <v>188641.90607187382</v>
      </c>
      <c r="BC36" s="652" t="s">
        <v>573</v>
      </c>
      <c r="BD36" s="541">
        <v>136262.40291226463</v>
      </c>
      <c r="BE36" s="541">
        <f t="shared" si="3"/>
        <v>26913.19</v>
      </c>
    </row>
    <row r="37" spans="1:57" ht="15" customHeight="1" thickBot="1" thickTop="1">
      <c r="A37" s="586" t="s">
        <v>439</v>
      </c>
      <c r="B37" s="586" t="s">
        <v>109</v>
      </c>
      <c r="C37" s="638">
        <v>1018416.93</v>
      </c>
      <c r="F37" t="s">
        <v>580</v>
      </c>
      <c r="G37" s="667">
        <f>+V43</f>
        <v>1001772.1911434014</v>
      </c>
      <c r="H37" s="773"/>
      <c r="I37" s="773" t="s">
        <v>580</v>
      </c>
      <c r="J37" s="781">
        <f>+V44</f>
        <v>166079.11924066808</v>
      </c>
      <c r="K37" s="773"/>
      <c r="L37" s="668" t="s">
        <v>722</v>
      </c>
      <c r="M37" s="781">
        <f>+V45</f>
        <v>542378.2696159302</v>
      </c>
      <c r="N37" s="540"/>
      <c r="O37" s="533"/>
      <c r="P37" s="563"/>
      <c r="R37" s="533"/>
      <c r="S37" s="563"/>
      <c r="U37" s="533"/>
      <c r="V37" s="563"/>
      <c r="AC37" s="563"/>
      <c r="AD37" s="563"/>
      <c r="AE37" s="563"/>
      <c r="AF37" s="568"/>
      <c r="AG37" s="568"/>
      <c r="AH37" s="533" t="s">
        <v>507</v>
      </c>
      <c r="AI37" s="541">
        <v>6357.43</v>
      </c>
      <c r="AJ37" s="716"/>
      <c r="AK37" s="693" t="s">
        <v>776</v>
      </c>
      <c r="AL37" s="541">
        <f>SUM(AL5:AL8)</f>
        <v>876835.8384991756</v>
      </c>
      <c r="AM37" s="541">
        <f>SUM(AM5:AM8)</f>
        <v>33590493.354222685</v>
      </c>
      <c r="AN37" s="541">
        <f>SUM(AN5:AN8)</f>
        <v>6634458.34</v>
      </c>
      <c r="AQ37" s="575" t="s">
        <v>772</v>
      </c>
      <c r="AR37" s="732">
        <f>+AR35+AR36</f>
        <v>12602640.691134885</v>
      </c>
      <c r="AS37" s="732">
        <f>+AS35+AS36</f>
        <v>2489147.5860595736</v>
      </c>
      <c r="AU37" s="559" t="s">
        <v>575</v>
      </c>
      <c r="AV37" s="710">
        <f>+AV35+AV36</f>
        <v>1700143.374156322</v>
      </c>
      <c r="AW37" s="710">
        <f>+AW35+AW36</f>
        <v>335795.32786855317</v>
      </c>
      <c r="AX37" s="541"/>
      <c r="AY37" s="560" t="s">
        <v>611</v>
      </c>
      <c r="AZ37" s="710">
        <f>+AZ35+AZ36</f>
        <v>4986680.112820313</v>
      </c>
      <c r="BA37" s="710">
        <f>+BA35+BA36</f>
        <v>984919.186071874</v>
      </c>
      <c r="BC37" s="652" t="s">
        <v>664</v>
      </c>
      <c r="BD37" s="541">
        <v>57287.5854162833</v>
      </c>
      <c r="BE37" s="541">
        <f t="shared" si="3"/>
        <v>11314.87</v>
      </c>
    </row>
    <row r="38" spans="1:57" ht="15" customHeight="1" thickTop="1">
      <c r="A38" s="586" t="s">
        <v>440</v>
      </c>
      <c r="B38" s="586" t="s">
        <v>111</v>
      </c>
      <c r="C38" s="638">
        <v>1813735.16</v>
      </c>
      <c r="F38" t="s">
        <v>493</v>
      </c>
      <c r="G38" s="667">
        <f>+AI65+AI68</f>
        <v>1276219.7075</v>
      </c>
      <c r="H38" s="773"/>
      <c r="I38" s="773" t="s">
        <v>493</v>
      </c>
      <c r="J38" s="781">
        <f>+AI66</f>
        <v>156796.63999999996</v>
      </c>
      <c r="K38" s="773"/>
      <c r="L38" s="773" t="s">
        <v>493</v>
      </c>
      <c r="M38" s="781">
        <f>+AI67</f>
        <v>307026.3925000001</v>
      </c>
      <c r="N38" s="540"/>
      <c r="O38" s="533"/>
      <c r="P38" s="563"/>
      <c r="R38" s="533"/>
      <c r="S38" s="563"/>
      <c r="U38" s="570" t="s">
        <v>720</v>
      </c>
      <c r="V38" s="534">
        <v>560537</v>
      </c>
      <c r="AC38" s="563"/>
      <c r="AD38" s="563"/>
      <c r="AE38" s="563"/>
      <c r="AF38" s="568"/>
      <c r="AG38" s="568"/>
      <c r="AH38" s="533" t="s">
        <v>508</v>
      </c>
      <c r="AI38" s="541">
        <v>10086.49</v>
      </c>
      <c r="AJ38" s="716"/>
      <c r="AK38" s="693" t="s">
        <v>777</v>
      </c>
      <c r="AL38" s="541">
        <f>SUM(AL10:AL12)</f>
        <v>132311.72167035998</v>
      </c>
      <c r="AM38" s="541">
        <f>SUM(AM10:AM12)</f>
        <v>5802272.199027059</v>
      </c>
      <c r="AN38" s="541">
        <f>SUM(AN10:AN12)</f>
        <v>1146006.78</v>
      </c>
      <c r="AQ38" s="539"/>
      <c r="AR38" s="556">
        <f>AR35-AM8</f>
        <v>0</v>
      </c>
      <c r="AS38" s="556">
        <f>AS35-AN8</f>
        <v>0</v>
      </c>
      <c r="AU38" s="560"/>
      <c r="AV38" s="561">
        <f>AM12-AV35</f>
        <v>0</v>
      </c>
      <c r="AW38" s="561">
        <f>AW35-AN12</f>
        <v>0.010000000067520887</v>
      </c>
      <c r="AX38" s="558"/>
      <c r="AY38" s="560"/>
      <c r="AZ38" s="561">
        <f>AZ35-AM16</f>
        <v>0</v>
      </c>
      <c r="BA38" s="561">
        <f>BA35-AN16</f>
        <v>-0.009999999892897904</v>
      </c>
      <c r="BC38" s="652" t="s">
        <v>579</v>
      </c>
      <c r="BD38" s="541">
        <v>34378.36886640077</v>
      </c>
      <c r="BE38" s="541">
        <f t="shared" si="3"/>
        <v>6790.07</v>
      </c>
    </row>
    <row r="39" spans="1:57" ht="15" customHeight="1" thickBot="1">
      <c r="A39" s="787" t="s">
        <v>441</v>
      </c>
      <c r="B39" s="787" t="s">
        <v>454</v>
      </c>
      <c r="C39" s="788">
        <v>37300.93000000001</v>
      </c>
      <c r="D39" s="797">
        <f>SUM(C33:C39)</f>
        <v>5082231.04</v>
      </c>
      <c r="F39" s="538" t="s">
        <v>612</v>
      </c>
      <c r="G39" s="710">
        <f>+G35+G37+G38</f>
        <v>10072751.458643401</v>
      </c>
      <c r="H39" s="773"/>
      <c r="I39" s="773"/>
      <c r="J39" s="778">
        <f>+J35+J37+J38</f>
        <v>1396337.4592406678</v>
      </c>
      <c r="K39" s="773"/>
      <c r="L39" s="773"/>
      <c r="M39" s="778">
        <f>+M35+M37+M38</f>
        <v>1896820.5921159303</v>
      </c>
      <c r="O39" s="533"/>
      <c r="P39" s="563"/>
      <c r="R39" s="533"/>
      <c r="S39" s="563"/>
      <c r="U39" s="619" t="s">
        <v>721</v>
      </c>
      <c r="V39" s="660">
        <f>+V36-V38</f>
        <v>1149692.5799999996</v>
      </c>
      <c r="AC39" s="563"/>
      <c r="AD39" s="563"/>
      <c r="AE39" s="563"/>
      <c r="AF39" s="568"/>
      <c r="AG39" s="568"/>
      <c r="AH39" s="533" t="s">
        <v>509</v>
      </c>
      <c r="AI39" s="541">
        <v>2740.12</v>
      </c>
      <c r="AJ39" s="716"/>
      <c r="AK39" s="693" t="s">
        <v>778</v>
      </c>
      <c r="AL39" s="771">
        <f>SUM(AL14:AL16)</f>
        <v>413086.8815943167</v>
      </c>
      <c r="AM39" s="771">
        <f>SUM(AM14:AM16)</f>
        <v>15702503.240280751</v>
      </c>
      <c r="AN39" s="771">
        <f>SUM(AN14:AN16)</f>
        <v>3101401.41</v>
      </c>
      <c r="AQ39" s="724"/>
      <c r="AR39" s="561"/>
      <c r="AS39" s="561"/>
      <c r="AU39" s="560"/>
      <c r="AV39" s="561"/>
      <c r="AW39" s="561"/>
      <c r="AX39" s="561"/>
      <c r="AY39" s="560"/>
      <c r="AZ39" s="561"/>
      <c r="BA39" s="561"/>
      <c r="BC39" s="652" t="s">
        <v>574</v>
      </c>
      <c r="BD39" s="541">
        <v>51251.07536199797</v>
      </c>
      <c r="BE39" s="541">
        <f t="shared" si="3"/>
        <v>10122.6</v>
      </c>
    </row>
    <row r="40" spans="1:57" ht="15" customHeight="1">
      <c r="A40" s="586" t="s">
        <v>442</v>
      </c>
      <c r="B40" s="586" t="s">
        <v>119</v>
      </c>
      <c r="C40" s="638">
        <v>379023.23</v>
      </c>
      <c r="H40" s="773"/>
      <c r="K40" s="773"/>
      <c r="O40" s="533"/>
      <c r="P40" s="563"/>
      <c r="AC40" s="563"/>
      <c r="AD40" s="563"/>
      <c r="AE40" s="563"/>
      <c r="AF40" s="568"/>
      <c r="AG40" s="568"/>
      <c r="AH40" s="533" t="s">
        <v>510</v>
      </c>
      <c r="AI40" s="541">
        <v>6721.99</v>
      </c>
      <c r="AJ40" s="716"/>
      <c r="AL40" s="541">
        <f>SUM(AL37:AL39)</f>
        <v>1422234.4417638523</v>
      </c>
      <c r="AM40" s="541">
        <f>SUM(AM37:AM39)</f>
        <v>55095268.793530494</v>
      </c>
      <c r="AN40" s="541">
        <f>SUM(AN37:AN39)</f>
        <v>10881866.530000001</v>
      </c>
      <c r="AQ40" s="560"/>
      <c r="AR40" s="558"/>
      <c r="AS40" s="561"/>
      <c r="AU40" s="560"/>
      <c r="AV40" s="561"/>
      <c r="AW40" s="561"/>
      <c r="AX40" s="561"/>
      <c r="AY40" s="560"/>
      <c r="AZ40" s="561"/>
      <c r="BA40" s="561"/>
      <c r="BC40" s="652" t="s">
        <v>665</v>
      </c>
      <c r="BD40" s="541">
        <v>67690.14754309057</v>
      </c>
      <c r="BE40" s="541">
        <f t="shared" si="3"/>
        <v>13369.48</v>
      </c>
    </row>
    <row r="41" spans="1:57" ht="15" customHeight="1" thickBot="1">
      <c r="A41" s="586" t="s">
        <v>443</v>
      </c>
      <c r="B41" s="586" t="s">
        <v>120</v>
      </c>
      <c r="C41" s="638">
        <v>398298.7799999998</v>
      </c>
      <c r="O41" s="533"/>
      <c r="P41" s="563"/>
      <c r="R41" s="533"/>
      <c r="S41" s="563"/>
      <c r="U41" s="618" t="s">
        <v>418</v>
      </c>
      <c r="V41" s="607"/>
      <c r="AC41" s="563"/>
      <c r="AD41" s="563"/>
      <c r="AE41" s="563"/>
      <c r="AF41" s="568"/>
      <c r="AG41" s="568"/>
      <c r="AH41" s="533" t="s">
        <v>511</v>
      </c>
      <c r="AI41" s="541">
        <v>5384.64</v>
      </c>
      <c r="AJ41" s="716"/>
      <c r="AK41" s="596"/>
      <c r="AQ41" s="560"/>
      <c r="AR41" s="725"/>
      <c r="AS41" s="691"/>
      <c r="AU41" s="560"/>
      <c r="AV41" s="561"/>
      <c r="AW41" s="561"/>
      <c r="AX41" s="691"/>
      <c r="AY41" s="560"/>
      <c r="AZ41" s="561"/>
      <c r="BA41" s="561"/>
      <c r="BC41" s="538" t="s">
        <v>570</v>
      </c>
      <c r="BD41" s="592">
        <f>SUM(BD4:BD40)</f>
        <v>3011627.0865383237</v>
      </c>
      <c r="BE41" s="592">
        <f>SUM(BE4:BE40)</f>
        <v>594826.5000000001</v>
      </c>
    </row>
    <row r="42" spans="1:58" ht="15" customHeight="1" thickTop="1">
      <c r="A42" s="586" t="s">
        <v>444</v>
      </c>
      <c r="B42" s="586" t="s">
        <v>121</v>
      </c>
      <c r="C42" s="638">
        <v>184888.45</v>
      </c>
      <c r="P42" s="563"/>
      <c r="R42" s="533"/>
      <c r="S42" s="563"/>
      <c r="U42" s="575" t="s">
        <v>656</v>
      </c>
      <c r="V42" s="608"/>
      <c r="AF42" s="568"/>
      <c r="AG42" s="568"/>
      <c r="AH42" s="533" t="s">
        <v>512</v>
      </c>
      <c r="AI42" s="541">
        <v>1911</v>
      </c>
      <c r="AJ42" s="716"/>
      <c r="AK42" s="803" t="s">
        <v>540</v>
      </c>
      <c r="AL42" s="563">
        <f>AL9+AL13+AL17</f>
        <v>75031.06978100003</v>
      </c>
      <c r="AM42" s="563">
        <f>AM9+AM13+AM17</f>
        <v>3011627.0865383237</v>
      </c>
      <c r="AN42" s="563">
        <f>AN9+AN13+AN17</f>
        <v>594826.5000000001</v>
      </c>
      <c r="AQ42" s="726"/>
      <c r="AR42" s="709"/>
      <c r="AS42" s="709"/>
      <c r="AU42" s="724"/>
      <c r="AV42" s="561"/>
      <c r="AW42" s="561"/>
      <c r="AX42" s="561"/>
      <c r="AY42" s="560"/>
      <c r="AZ42" s="561"/>
      <c r="BA42" s="561"/>
      <c r="BC42" s="538"/>
      <c r="BF42" s="640" t="s">
        <v>541</v>
      </c>
    </row>
    <row r="43" spans="1:58" ht="15" customHeight="1">
      <c r="A43" s="586" t="s">
        <v>445</v>
      </c>
      <c r="B43" s="586" t="s">
        <v>122</v>
      </c>
      <c r="C43" s="638">
        <v>770587.71</v>
      </c>
      <c r="F43" s="645" t="s">
        <v>682</v>
      </c>
      <c r="G43" s="603" t="s">
        <v>545</v>
      </c>
      <c r="I43" s="645" t="s">
        <v>682</v>
      </c>
      <c r="J43" s="603" t="s">
        <v>683</v>
      </c>
      <c r="L43" s="645" t="s">
        <v>682</v>
      </c>
      <c r="M43" s="603" t="s">
        <v>676</v>
      </c>
      <c r="O43" s="555"/>
      <c r="P43" s="563"/>
      <c r="R43" s="533"/>
      <c r="S43" s="563"/>
      <c r="U43" s="616" t="s">
        <v>42</v>
      </c>
      <c r="V43" s="617">
        <f>+V36*Z4</f>
        <v>1001772.1911434014</v>
      </c>
      <c r="AC43" s="563"/>
      <c r="AD43" s="563"/>
      <c r="AE43" s="563"/>
      <c r="AF43" s="568"/>
      <c r="AG43" s="568"/>
      <c r="AH43" s="533" t="s">
        <v>513</v>
      </c>
      <c r="AI43" s="541">
        <v>2560.61</v>
      </c>
      <c r="AJ43" s="716"/>
      <c r="AK43" s="569"/>
      <c r="AL43" s="569"/>
      <c r="AQ43" s="726"/>
      <c r="AR43" s="709"/>
      <c r="AS43" s="709"/>
      <c r="AU43" s="560"/>
      <c r="AV43" s="561"/>
      <c r="AW43" s="561"/>
      <c r="AX43" s="691"/>
      <c r="AY43" s="560"/>
      <c r="AZ43" s="561"/>
      <c r="BA43" s="561"/>
      <c r="BC43" s="559" t="s">
        <v>42</v>
      </c>
      <c r="BD43" s="590">
        <f>+BD41*Z4</f>
        <v>1764069.7486873753</v>
      </c>
      <c r="BE43" s="590">
        <f>+BE41*Z4</f>
        <v>348421.4360595732</v>
      </c>
      <c r="BF43" s="590">
        <f>+$BF$46*Z4</f>
        <v>43949.67790134109</v>
      </c>
    </row>
    <row r="44" spans="1:58" ht="15" thickBot="1">
      <c r="A44" s="787" t="s">
        <v>423</v>
      </c>
      <c r="B44" s="787" t="s">
        <v>417</v>
      </c>
      <c r="C44" s="792">
        <f>S36</f>
        <v>7580406.940000002</v>
      </c>
      <c r="D44" s="797">
        <f>SUM(C40:C44)</f>
        <v>9313205.110000001</v>
      </c>
      <c r="F44" s="586" t="s">
        <v>679</v>
      </c>
      <c r="G44" s="638">
        <v>3251086.82</v>
      </c>
      <c r="I44" s="586" t="s">
        <v>680</v>
      </c>
      <c r="J44" s="638">
        <v>125519.81</v>
      </c>
      <c r="L44" s="646" t="s">
        <v>681</v>
      </c>
      <c r="M44" s="638">
        <v>445208.17</v>
      </c>
      <c r="P44" s="563"/>
      <c r="R44" s="533"/>
      <c r="S44" s="563"/>
      <c r="U44" s="616" t="s">
        <v>24</v>
      </c>
      <c r="V44" s="617">
        <f>+V36*Z5</f>
        <v>166079.11924066808</v>
      </c>
      <c r="AC44" s="563"/>
      <c r="AD44" s="563"/>
      <c r="AE44" s="563"/>
      <c r="AF44" s="568"/>
      <c r="AG44" s="568"/>
      <c r="AH44" s="533" t="s">
        <v>514</v>
      </c>
      <c r="AI44" s="541">
        <v>41515.12</v>
      </c>
      <c r="AJ44" s="716"/>
      <c r="AK44" s="569"/>
      <c r="AL44" s="569"/>
      <c r="AQ44" s="726"/>
      <c r="AR44" s="709"/>
      <c r="AS44" s="709"/>
      <c r="AU44" s="560"/>
      <c r="AV44" s="725"/>
      <c r="AW44" s="691"/>
      <c r="AX44" s="561"/>
      <c r="AY44" s="560"/>
      <c r="AZ44" s="725"/>
      <c r="BA44" s="691"/>
      <c r="BB44" s="540" t="s">
        <v>530</v>
      </c>
      <c r="BC44" s="559" t="s">
        <v>24</v>
      </c>
      <c r="BD44" s="590">
        <f>+BD41*Z5</f>
        <v>292456.86068277695</v>
      </c>
      <c r="BE44" s="590">
        <f>+BE41*Z5</f>
        <v>57763.15786855311</v>
      </c>
      <c r="BF44" s="590">
        <f>+$BF$46*Z5</f>
        <v>7286.211237741304</v>
      </c>
    </row>
    <row r="45" spans="1:58" ht="14.25">
      <c r="A45" s="657"/>
      <c r="B45" s="657"/>
      <c r="C45" s="555"/>
      <c r="O45" s="555"/>
      <c r="P45" s="571"/>
      <c r="R45" s="533"/>
      <c r="S45" s="563"/>
      <c r="U45" s="616" t="s">
        <v>43</v>
      </c>
      <c r="V45" s="617">
        <f>+V36*Z6</f>
        <v>542378.2696159302</v>
      </c>
      <c r="AC45" s="563"/>
      <c r="AD45" s="563"/>
      <c r="AE45" s="563"/>
      <c r="AF45" s="568"/>
      <c r="AG45" s="568"/>
      <c r="AH45" s="533" t="s">
        <v>515</v>
      </c>
      <c r="AI45" s="541">
        <v>44194.33</v>
      </c>
      <c r="AJ45" s="716"/>
      <c r="AK45" s="569"/>
      <c r="AL45" s="569"/>
      <c r="AQ45" s="726"/>
      <c r="AR45" s="709"/>
      <c r="AS45" s="709"/>
      <c r="AU45" s="726"/>
      <c r="AV45" s="709"/>
      <c r="AW45" s="709"/>
      <c r="AX45" s="561"/>
      <c r="AY45" s="726"/>
      <c r="AZ45" s="709"/>
      <c r="BA45" s="709"/>
      <c r="BC45" s="559" t="s">
        <v>43</v>
      </c>
      <c r="BD45" s="590">
        <f>+BD41*Z6</f>
        <v>955100.4771681716</v>
      </c>
      <c r="BE45" s="590">
        <f>+BE41*Z6</f>
        <v>188641.90607187382</v>
      </c>
      <c r="BF45" s="590">
        <f>+$BF$46*Z6</f>
        <v>23795.18064191762</v>
      </c>
    </row>
    <row r="46" spans="1:58" ht="15" thickBot="1">
      <c r="A46" s="657" t="s">
        <v>427</v>
      </c>
      <c r="B46" s="657"/>
      <c r="C46" s="786">
        <f>SUM(C4:C45)</f>
        <v>133699689.00000001</v>
      </c>
      <c r="O46" s="555"/>
      <c r="P46" s="555"/>
      <c r="R46" s="533"/>
      <c r="S46" s="563"/>
      <c r="U46" s="616" t="s">
        <v>571</v>
      </c>
      <c r="V46" s="572">
        <f>SUM(V43:V45)</f>
        <v>1710229.5799999996</v>
      </c>
      <c r="AC46" s="563"/>
      <c r="AD46" s="563"/>
      <c r="AE46" s="563"/>
      <c r="AF46" s="568"/>
      <c r="AG46" s="568"/>
      <c r="AH46" s="533" t="s">
        <v>516</v>
      </c>
      <c r="AI46" s="541">
        <v>29278.72</v>
      </c>
      <c r="AJ46" s="716"/>
      <c r="AK46" s="569"/>
      <c r="AL46" s="569"/>
      <c r="AQ46" s="726"/>
      <c r="AR46" s="709"/>
      <c r="AS46" s="709"/>
      <c r="AU46" s="726"/>
      <c r="AV46" s="709"/>
      <c r="AW46" s="709"/>
      <c r="AX46" s="561"/>
      <c r="AY46" s="726"/>
      <c r="AZ46" s="709"/>
      <c r="BA46" s="709"/>
      <c r="BC46" s="559" t="s">
        <v>571</v>
      </c>
      <c r="BD46" s="592">
        <f>SUM(BD43:BD45)</f>
        <v>3011627.0865383237</v>
      </c>
      <c r="BE46" s="592">
        <f>SUM(BE43:BE45)</f>
        <v>594826.5000000001</v>
      </c>
      <c r="BF46" s="592">
        <v>75031.06978100001</v>
      </c>
    </row>
    <row r="47" spans="1:58" ht="13.5" thickTop="1">
      <c r="A47" s="621"/>
      <c r="B47" s="621"/>
      <c r="C47" s="593"/>
      <c r="O47" s="555"/>
      <c r="P47" s="555"/>
      <c r="R47" s="533"/>
      <c r="S47" s="563"/>
      <c r="AC47" s="563"/>
      <c r="AD47" s="563"/>
      <c r="AE47" s="563"/>
      <c r="AF47" s="568"/>
      <c r="AG47" s="568"/>
      <c r="AH47" s="533" t="s">
        <v>517</v>
      </c>
      <c r="AI47" s="541">
        <v>6170.99</v>
      </c>
      <c r="AJ47" s="716"/>
      <c r="AK47" s="569"/>
      <c r="AL47" s="569"/>
      <c r="AQ47" s="726"/>
      <c r="AR47" s="709"/>
      <c r="AS47" s="709"/>
      <c r="AU47" s="726"/>
      <c r="AV47" s="709"/>
      <c r="AW47" s="709"/>
      <c r="AX47" s="561"/>
      <c r="AY47" s="726"/>
      <c r="AZ47" s="709"/>
      <c r="BA47" s="709"/>
      <c r="BC47" s="538"/>
      <c r="BF47" s="541">
        <f>BF46-BF43-BF44-BF45</f>
        <v>0</v>
      </c>
    </row>
    <row r="48" spans="1:55" ht="13.5" thickBot="1">
      <c r="A48" s="728" t="s">
        <v>782</v>
      </c>
      <c r="B48" s="728"/>
      <c r="C48" s="783">
        <f>'RECONCILIATION TO AFS'!C16</f>
        <v>133699690</v>
      </c>
      <c r="AC48" s="563"/>
      <c r="AD48" s="563"/>
      <c r="AE48" s="563"/>
      <c r="AF48" s="568"/>
      <c r="AG48" s="568"/>
      <c r="AH48" s="533" t="s">
        <v>518</v>
      </c>
      <c r="AI48" s="541">
        <v>36302.67</v>
      </c>
      <c r="AJ48" s="716"/>
      <c r="AK48" s="569"/>
      <c r="AL48" s="569"/>
      <c r="AQ48" s="726"/>
      <c r="AR48" s="709"/>
      <c r="AS48" s="709"/>
      <c r="AU48" s="726"/>
      <c r="AV48" s="709"/>
      <c r="AW48" s="709"/>
      <c r="AX48" s="561"/>
      <c r="AY48" s="726"/>
      <c r="AZ48" s="709"/>
      <c r="BA48" s="709"/>
      <c r="BC48" s="538"/>
    </row>
    <row r="49" spans="18:55" ht="13.5" thickTop="1">
      <c r="R49" s="533"/>
      <c r="S49" s="563"/>
      <c r="AC49" s="563"/>
      <c r="AD49" s="563"/>
      <c r="AE49" s="563"/>
      <c r="AF49" s="568"/>
      <c r="AG49" s="568"/>
      <c r="AH49" s="533" t="s">
        <v>519</v>
      </c>
      <c r="AI49" s="541">
        <v>10619.81</v>
      </c>
      <c r="AJ49" s="716"/>
      <c r="AK49" s="569"/>
      <c r="AL49" s="569"/>
      <c r="AQ49" s="726"/>
      <c r="AR49" s="709"/>
      <c r="AS49" s="709"/>
      <c r="AU49" s="726"/>
      <c r="AV49" s="709"/>
      <c r="AW49" s="709"/>
      <c r="AX49" s="561"/>
      <c r="AY49" s="726"/>
      <c r="AZ49" s="709"/>
      <c r="BA49" s="709"/>
      <c r="BC49" s="538"/>
    </row>
    <row r="50" spans="18:55" ht="12.75">
      <c r="R50" s="533"/>
      <c r="S50" s="563"/>
      <c r="AC50" s="563"/>
      <c r="AD50" s="563"/>
      <c r="AE50" s="563"/>
      <c r="AF50" s="568"/>
      <c r="AG50" s="568"/>
      <c r="AH50" s="533" t="s">
        <v>520</v>
      </c>
      <c r="AI50" s="541">
        <v>10919.97</v>
      </c>
      <c r="AJ50" s="716"/>
      <c r="AK50" s="569"/>
      <c r="AL50" s="569"/>
      <c r="AQ50" s="726"/>
      <c r="AR50" s="709"/>
      <c r="AS50" s="709"/>
      <c r="AU50" s="726"/>
      <c r="AV50" s="709"/>
      <c r="AW50" s="709"/>
      <c r="AX50" s="691"/>
      <c r="AY50" s="726"/>
      <c r="AZ50" s="709"/>
      <c r="BA50" s="709"/>
      <c r="BC50" s="538"/>
    </row>
    <row r="51" spans="3:57" ht="14.25">
      <c r="C51" s="535"/>
      <c r="R51" s="533"/>
      <c r="S51" s="563"/>
      <c r="AC51" s="563"/>
      <c r="AD51" s="563"/>
      <c r="AE51" s="563"/>
      <c r="AF51" s="568"/>
      <c r="AG51" s="568"/>
      <c r="AH51" s="533" t="s">
        <v>521</v>
      </c>
      <c r="AI51" s="541">
        <v>14470.99</v>
      </c>
      <c r="AJ51" s="716"/>
      <c r="AK51" s="569"/>
      <c r="AL51" s="569"/>
      <c r="AQ51" s="726"/>
      <c r="AR51" s="709"/>
      <c r="AS51" s="709"/>
      <c r="AU51" s="726"/>
      <c r="AV51" s="709"/>
      <c r="AW51" s="709"/>
      <c r="AX51" s="709"/>
      <c r="AY51" s="726"/>
      <c r="AZ51" s="709"/>
      <c r="BA51" s="709"/>
      <c r="BC51" s="538"/>
      <c r="BD51" s="711"/>
      <c r="BE51" s="711"/>
    </row>
    <row r="52" spans="18:58" ht="12.75">
      <c r="R52" s="533"/>
      <c r="S52" s="563"/>
      <c r="AC52" s="563"/>
      <c r="AD52" s="563"/>
      <c r="AE52" s="563"/>
      <c r="AF52" s="568"/>
      <c r="AG52" s="568"/>
      <c r="AH52" s="533" t="s">
        <v>522</v>
      </c>
      <c r="AI52" s="541">
        <v>3422.2</v>
      </c>
      <c r="AJ52" s="716"/>
      <c r="AK52" s="569"/>
      <c r="AL52" s="569"/>
      <c r="AQ52" s="726"/>
      <c r="AR52" s="709"/>
      <c r="AS52" s="709"/>
      <c r="AU52" s="726"/>
      <c r="AV52" s="709"/>
      <c r="AW52" s="709"/>
      <c r="AX52" s="709"/>
      <c r="AY52" s="726"/>
      <c r="AZ52" s="709"/>
      <c r="BA52" s="709"/>
      <c r="BC52" s="538"/>
      <c r="BD52" s="555"/>
      <c r="BE52" s="555"/>
      <c r="BF52" s="555"/>
    </row>
    <row r="53" spans="18:59" ht="12.75">
      <c r="R53" s="586"/>
      <c r="S53" s="589"/>
      <c r="AC53" s="563"/>
      <c r="AD53" s="563"/>
      <c r="AE53" s="563"/>
      <c r="AF53" s="568"/>
      <c r="AG53" s="568"/>
      <c r="AH53" s="533" t="s">
        <v>523</v>
      </c>
      <c r="AI53" s="541">
        <v>12575.72</v>
      </c>
      <c r="AJ53" s="716"/>
      <c r="AK53" s="569"/>
      <c r="AL53" s="569"/>
      <c r="AQ53" s="726"/>
      <c r="AR53" s="709"/>
      <c r="AS53" s="709"/>
      <c r="AU53" s="726"/>
      <c r="AV53" s="709"/>
      <c r="AW53" s="709"/>
      <c r="AX53" s="709"/>
      <c r="AY53" s="726"/>
      <c r="AZ53" s="709"/>
      <c r="BA53" s="709"/>
      <c r="BC53" s="538"/>
      <c r="BD53" s="700"/>
      <c r="BE53" s="701"/>
      <c r="BF53" s="555"/>
      <c r="BG53" s="555"/>
    </row>
    <row r="54" spans="18:59" ht="12.75">
      <c r="R54" s="586"/>
      <c r="S54" s="590"/>
      <c r="AF54" s="568"/>
      <c r="AG54" s="568"/>
      <c r="AH54" s="533" t="s">
        <v>524</v>
      </c>
      <c r="AI54" s="541">
        <v>4276.26</v>
      </c>
      <c r="AJ54" s="716"/>
      <c r="AK54" s="569"/>
      <c r="AL54" s="569"/>
      <c r="AQ54" s="726"/>
      <c r="AR54" s="709"/>
      <c r="AS54" s="709"/>
      <c r="AU54" s="585"/>
      <c r="AV54" s="709"/>
      <c r="AW54" s="709"/>
      <c r="AX54" s="709"/>
      <c r="AY54" s="726"/>
      <c r="AZ54" s="709"/>
      <c r="BA54" s="709"/>
      <c r="BC54" s="538"/>
      <c r="BD54" s="700"/>
      <c r="BE54" s="701"/>
      <c r="BF54" s="555"/>
      <c r="BG54" s="555"/>
    </row>
    <row r="55" spans="18:59" ht="12.75">
      <c r="R55" s="586"/>
      <c r="S55" s="590"/>
      <c r="AC55" s="563"/>
      <c r="AD55" s="563"/>
      <c r="AE55" s="563"/>
      <c r="AF55" s="568"/>
      <c r="AG55" s="568"/>
      <c r="AH55" s="533" t="s">
        <v>525</v>
      </c>
      <c r="AI55" s="541">
        <v>6626.38</v>
      </c>
      <c r="AJ55" s="716"/>
      <c r="AK55" s="569"/>
      <c r="AL55" s="569"/>
      <c r="AQ55" s="726"/>
      <c r="AR55" s="709"/>
      <c r="AS55" s="709"/>
      <c r="AU55" s="615"/>
      <c r="AV55" s="727"/>
      <c r="AW55" s="727"/>
      <c r="AX55" s="709"/>
      <c r="AY55" s="726"/>
      <c r="AZ55" s="709"/>
      <c r="BA55" s="709"/>
      <c r="BC55" s="538"/>
      <c r="BD55" s="700"/>
      <c r="BE55" s="701"/>
      <c r="BF55" s="555"/>
      <c r="BG55" s="712"/>
    </row>
    <row r="56" spans="18:59" ht="12.75">
      <c r="R56" s="586"/>
      <c r="S56" s="590"/>
      <c r="AC56" s="563"/>
      <c r="AD56" s="563"/>
      <c r="AE56" s="563"/>
      <c r="AF56" s="568"/>
      <c r="AG56" s="568"/>
      <c r="AH56" s="533" t="s">
        <v>526</v>
      </c>
      <c r="AI56" s="541">
        <v>4801.88</v>
      </c>
      <c r="AJ56" s="716"/>
      <c r="AK56" s="569"/>
      <c r="AL56" s="569"/>
      <c r="AQ56" s="726"/>
      <c r="AR56" s="709"/>
      <c r="AS56" s="709"/>
      <c r="AU56" s="560"/>
      <c r="AV56" s="692"/>
      <c r="AW56" s="692"/>
      <c r="AX56" s="709"/>
      <c r="AY56" s="726"/>
      <c r="AZ56" s="709"/>
      <c r="BA56" s="709"/>
      <c r="BC56" s="538"/>
      <c r="BD56" s="702"/>
      <c r="BE56" s="703"/>
      <c r="BF56" s="555"/>
      <c r="BG56" s="712"/>
    </row>
    <row r="57" spans="18:59" ht="12.75">
      <c r="R57" s="555"/>
      <c r="S57" s="590"/>
      <c r="AC57" s="563"/>
      <c r="AD57" s="563"/>
      <c r="AE57" s="563"/>
      <c r="AF57" s="568"/>
      <c r="AG57" s="568"/>
      <c r="AH57" s="533" t="s">
        <v>657</v>
      </c>
      <c r="AI57" s="541">
        <v>2227.25</v>
      </c>
      <c r="AJ57" s="716"/>
      <c r="AK57" s="569"/>
      <c r="AL57" s="569"/>
      <c r="AQ57" s="726"/>
      <c r="AR57" s="709"/>
      <c r="AS57" s="709"/>
      <c r="AU57" s="728"/>
      <c r="AV57" s="727"/>
      <c r="AW57" s="727"/>
      <c r="AX57" s="709"/>
      <c r="AY57" s="726"/>
      <c r="AZ57" s="709"/>
      <c r="BA57" s="709"/>
      <c r="BC57" s="538"/>
      <c r="BD57" s="704"/>
      <c r="BE57" s="555"/>
      <c r="BF57" s="555"/>
      <c r="BG57" s="712"/>
    </row>
    <row r="58" spans="18:59" ht="12.75">
      <c r="R58" s="555"/>
      <c r="S58" s="590"/>
      <c r="AC58" s="563"/>
      <c r="AD58" s="563"/>
      <c r="AE58" s="563"/>
      <c r="AF58" s="568"/>
      <c r="AG58" s="568"/>
      <c r="AH58" s="570" t="s">
        <v>658</v>
      </c>
      <c r="AI58" s="639">
        <v>17409.237500000014</v>
      </c>
      <c r="AJ58" s="716"/>
      <c r="AK58" s="569"/>
      <c r="AL58" s="569"/>
      <c r="AQ58" s="726"/>
      <c r="AR58" s="709"/>
      <c r="AS58" s="709"/>
      <c r="AU58" s="558"/>
      <c r="AV58" s="558"/>
      <c r="AW58" s="558"/>
      <c r="AX58" s="709"/>
      <c r="AY58" s="726"/>
      <c r="AZ58" s="709"/>
      <c r="BA58" s="709"/>
      <c r="BC58" s="538"/>
      <c r="BD58" s="704"/>
      <c r="BE58" s="555"/>
      <c r="BF58" s="555"/>
      <c r="BG58" s="712"/>
    </row>
    <row r="59" spans="18:59" ht="12.75">
      <c r="R59" s="555"/>
      <c r="S59" s="590"/>
      <c r="AC59" s="563"/>
      <c r="AD59" s="563"/>
      <c r="AE59" s="563"/>
      <c r="AF59" s="568"/>
      <c r="AG59" s="568"/>
      <c r="AH59" s="570" t="s">
        <v>659</v>
      </c>
      <c r="AI59" s="639">
        <v>79624.10250000004</v>
      </c>
      <c r="AJ59" s="716"/>
      <c r="AK59" s="569"/>
      <c r="AL59" s="569"/>
      <c r="AQ59" s="726"/>
      <c r="AR59" s="709"/>
      <c r="AS59" s="709"/>
      <c r="AU59" s="560"/>
      <c r="AV59" s="558"/>
      <c r="AW59" s="709"/>
      <c r="AX59" s="709"/>
      <c r="AY59" s="726"/>
      <c r="AZ59" s="709"/>
      <c r="BA59" s="709"/>
      <c r="BC59" s="538"/>
      <c r="BD59" s="700"/>
      <c r="BE59" s="703"/>
      <c r="BF59" s="555"/>
      <c r="BG59" s="555"/>
    </row>
    <row r="60" spans="29:59" ht="12.75">
      <c r="AC60" s="563"/>
      <c r="AD60" s="563"/>
      <c r="AE60" s="563"/>
      <c r="AF60" s="568"/>
      <c r="AG60" s="568"/>
      <c r="AH60" s="570"/>
      <c r="AI60" s="563"/>
      <c r="AJ60" s="716"/>
      <c r="AK60" s="569"/>
      <c r="AL60" s="569"/>
      <c r="AQ60" s="726"/>
      <c r="AR60" s="709"/>
      <c r="AS60" s="709"/>
      <c r="AU60" s="560"/>
      <c r="AW60" s="541"/>
      <c r="AX60" s="709"/>
      <c r="AY60" s="726"/>
      <c r="AZ60" s="709"/>
      <c r="BA60" s="709"/>
      <c r="BC60" s="538"/>
      <c r="BD60" s="700"/>
      <c r="BE60" s="703"/>
      <c r="BF60" s="555"/>
      <c r="BG60" s="555"/>
    </row>
    <row r="61" spans="29:59" ht="13.5" thickBot="1">
      <c r="AC61" s="563"/>
      <c r="AD61" s="563"/>
      <c r="AE61" s="563"/>
      <c r="AF61" s="568"/>
      <c r="AG61" s="568"/>
      <c r="AH61" s="574" t="s">
        <v>427</v>
      </c>
      <c r="AI61" s="594">
        <f>SUM(AI4:AI60)</f>
        <v>1740042.7399999995</v>
      </c>
      <c r="AJ61" s="716"/>
      <c r="AK61" s="569"/>
      <c r="AL61" s="569"/>
      <c r="AQ61" s="726"/>
      <c r="AR61" s="709"/>
      <c r="AS61" s="709"/>
      <c r="AU61" s="560"/>
      <c r="AX61" s="727"/>
      <c r="AY61" s="726"/>
      <c r="AZ61" s="709"/>
      <c r="BA61" s="709"/>
      <c r="BC61" s="538"/>
      <c r="BD61" s="700"/>
      <c r="BE61" s="703"/>
      <c r="BF61" s="555"/>
      <c r="BG61" s="555"/>
    </row>
    <row r="62" spans="29:59" ht="13.5" thickTop="1">
      <c r="AC62" s="563"/>
      <c r="AD62" s="563"/>
      <c r="AE62" s="563"/>
      <c r="AF62" s="568"/>
      <c r="AG62" s="568"/>
      <c r="AH62" s="586"/>
      <c r="AI62" s="598"/>
      <c r="AJ62" s="716"/>
      <c r="AK62" s="569"/>
      <c r="AL62" s="569"/>
      <c r="AQ62" s="726"/>
      <c r="AR62" s="709"/>
      <c r="AS62" s="709"/>
      <c r="AU62" s="560"/>
      <c r="AX62" s="692"/>
      <c r="AY62" s="726"/>
      <c r="AZ62" s="709"/>
      <c r="BA62" s="709"/>
      <c r="BC62" s="538"/>
      <c r="BD62" s="576"/>
      <c r="BE62" s="576"/>
      <c r="BF62" s="555"/>
      <c r="BG62" s="555"/>
    </row>
    <row r="63" spans="29:59" ht="12.75">
      <c r="AC63" s="563"/>
      <c r="AD63" s="563"/>
      <c r="AE63" s="563"/>
      <c r="AF63" s="568"/>
      <c r="AG63" s="568"/>
      <c r="AH63" s="586"/>
      <c r="AI63" s="598"/>
      <c r="AJ63" s="716"/>
      <c r="AK63" s="569"/>
      <c r="AL63" s="569"/>
      <c r="AQ63" s="726"/>
      <c r="AR63" s="709"/>
      <c r="AS63" s="709"/>
      <c r="AU63" s="560"/>
      <c r="AX63" s="727"/>
      <c r="AY63" s="726"/>
      <c r="AZ63" s="709"/>
      <c r="BA63" s="709"/>
      <c r="BC63" s="538"/>
      <c r="BF63" s="555"/>
      <c r="BG63" s="555"/>
    </row>
    <row r="64" spans="29:59" ht="12.75">
      <c r="AC64" s="563"/>
      <c r="AD64" s="563"/>
      <c r="AE64" s="563"/>
      <c r="AF64" s="568"/>
      <c r="AG64" s="568"/>
      <c r="AH64" s="657" t="s">
        <v>709</v>
      </c>
      <c r="AI64" s="599"/>
      <c r="AJ64" s="716"/>
      <c r="AK64" s="569"/>
      <c r="AL64" s="569"/>
      <c r="AQ64" s="726"/>
      <c r="AR64" s="709"/>
      <c r="AS64" s="709"/>
      <c r="AU64" s="560"/>
      <c r="AX64" s="558"/>
      <c r="AY64" s="726"/>
      <c r="AZ64" s="709"/>
      <c r="BA64" s="709"/>
      <c r="BC64" s="538"/>
      <c r="BG64" s="555"/>
    </row>
    <row r="65" spans="29:53" ht="12.75">
      <c r="AC65" s="563"/>
      <c r="AD65" s="563"/>
      <c r="AE65" s="563"/>
      <c r="AF65" s="568"/>
      <c r="AG65" s="568"/>
      <c r="AH65" s="657" t="s">
        <v>42</v>
      </c>
      <c r="AI65" s="707">
        <f>SUM(AI4:AI26)+AI58</f>
        <v>1276219.7075</v>
      </c>
      <c r="AJ65" s="716"/>
      <c r="AK65" s="569"/>
      <c r="AL65" s="569"/>
      <c r="AQ65" s="726"/>
      <c r="AR65" s="709"/>
      <c r="AS65" s="709"/>
      <c r="AU65" s="560"/>
      <c r="AX65" s="558"/>
      <c r="AY65" s="726"/>
      <c r="AZ65" s="709"/>
      <c r="BA65" s="709"/>
    </row>
    <row r="66" spans="29:53" ht="12.75">
      <c r="AC66" s="563"/>
      <c r="AD66" s="563"/>
      <c r="AE66" s="563"/>
      <c r="AF66" s="568"/>
      <c r="AG66" s="568"/>
      <c r="AH66" s="657" t="s">
        <v>24</v>
      </c>
      <c r="AI66" s="707">
        <f>SUM(AI27:AI43)</f>
        <v>156796.63999999996</v>
      </c>
      <c r="AJ66" s="716"/>
      <c r="AK66" s="569"/>
      <c r="AL66" s="569"/>
      <c r="AQ66" s="726"/>
      <c r="AR66" s="709"/>
      <c r="AS66" s="709"/>
      <c r="AU66" s="560"/>
      <c r="AX66" s="558"/>
      <c r="AY66" s="726"/>
      <c r="AZ66" s="709"/>
      <c r="BA66" s="709"/>
    </row>
    <row r="67" spans="29:53" ht="12.75">
      <c r="AC67" s="563"/>
      <c r="AD67" s="563"/>
      <c r="AE67" s="563"/>
      <c r="AF67" s="568"/>
      <c r="AG67" s="568"/>
      <c r="AH67" s="575" t="s">
        <v>43</v>
      </c>
      <c r="AI67" s="707">
        <f>SUM(AI44:AI57)+AI59</f>
        <v>307026.3925000001</v>
      </c>
      <c r="AJ67" s="716"/>
      <c r="AK67" s="569"/>
      <c r="AL67" s="569"/>
      <c r="AQ67" s="726"/>
      <c r="AR67" s="709"/>
      <c r="AS67" s="709"/>
      <c r="AU67" s="560"/>
      <c r="AX67" s="558"/>
      <c r="AY67" s="560"/>
      <c r="AZ67" s="561"/>
      <c r="BA67" s="561"/>
    </row>
    <row r="68" spans="32:53" ht="12.75">
      <c r="AF68" s="568"/>
      <c r="AG68" s="568"/>
      <c r="AH68" s="555"/>
      <c r="AI68" s="708"/>
      <c r="AJ68" s="716"/>
      <c r="AK68" s="569"/>
      <c r="AL68" s="569"/>
      <c r="AQ68" s="726"/>
      <c r="AR68" s="709"/>
      <c r="AS68" s="709"/>
      <c r="AU68" s="560"/>
      <c r="AY68" s="560"/>
      <c r="AZ68" s="561"/>
      <c r="BA68" s="561"/>
    </row>
    <row r="69" spans="29:53" ht="13.5" thickBot="1">
      <c r="AC69" s="563"/>
      <c r="AD69" s="563"/>
      <c r="AE69" s="563"/>
      <c r="AF69" s="568"/>
      <c r="AG69" s="568"/>
      <c r="AH69" s="574" t="s">
        <v>427</v>
      </c>
      <c r="AI69" s="594">
        <f>SUM(AI65:AI67)</f>
        <v>1740042.74</v>
      </c>
      <c r="AJ69" s="716"/>
      <c r="AK69" s="569"/>
      <c r="AL69" s="569"/>
      <c r="AQ69" s="726"/>
      <c r="AR69" s="709"/>
      <c r="AS69" s="709"/>
      <c r="AU69" s="560"/>
      <c r="AY69" s="615"/>
      <c r="AZ69" s="709"/>
      <c r="BA69" s="709"/>
    </row>
    <row r="70" spans="29:53" ht="13.5" thickTop="1">
      <c r="AC70" s="563"/>
      <c r="AD70" s="563"/>
      <c r="AE70" s="563"/>
      <c r="AF70" s="568"/>
      <c r="AG70" s="568"/>
      <c r="AH70" s="555"/>
      <c r="AI70" s="587"/>
      <c r="AJ70" s="716"/>
      <c r="AK70" s="569"/>
      <c r="AL70" s="569"/>
      <c r="AQ70" s="726"/>
      <c r="AR70" s="709"/>
      <c r="AS70" s="709"/>
      <c r="AU70" s="560"/>
      <c r="AY70" s="558"/>
      <c r="AZ70" s="709"/>
      <c r="BA70" s="709"/>
    </row>
    <row r="71" spans="29:53" ht="12.75">
      <c r="AC71" s="563"/>
      <c r="AD71" s="563"/>
      <c r="AE71" s="563"/>
      <c r="AF71" s="568"/>
      <c r="AG71" s="568"/>
      <c r="AH71" s="555"/>
      <c r="AI71" s="555"/>
      <c r="AJ71" s="716"/>
      <c r="AK71" s="569"/>
      <c r="AL71" s="569"/>
      <c r="AQ71" s="726"/>
      <c r="AR71" s="709"/>
      <c r="AS71" s="709"/>
      <c r="AU71" s="560"/>
      <c r="AY71" s="559"/>
      <c r="AZ71" s="727"/>
      <c r="BA71" s="727"/>
    </row>
    <row r="72" spans="29:47" ht="12.75">
      <c r="AC72" s="563"/>
      <c r="AD72" s="563"/>
      <c r="AE72" s="563"/>
      <c r="AF72" s="568"/>
      <c r="AG72" s="568"/>
      <c r="AH72" s="533"/>
      <c r="AI72" s="563"/>
      <c r="AJ72" s="716"/>
      <c r="AK72" s="569"/>
      <c r="AL72" s="569"/>
      <c r="AQ72" s="726"/>
      <c r="AR72" s="709"/>
      <c r="AS72" s="709"/>
      <c r="AU72" s="560"/>
    </row>
    <row r="73" spans="29:47" ht="12.75">
      <c r="AC73" s="589"/>
      <c r="AD73" s="589"/>
      <c r="AE73" s="589"/>
      <c r="AF73" s="568"/>
      <c r="AG73" s="568"/>
      <c r="AH73" s="533"/>
      <c r="AI73" s="563"/>
      <c r="AJ73" s="716"/>
      <c r="AK73" s="569"/>
      <c r="AL73" s="569"/>
      <c r="AQ73" s="726"/>
      <c r="AR73" s="709"/>
      <c r="AS73" s="709"/>
      <c r="AU73" s="560"/>
    </row>
    <row r="74" spans="29:47" ht="12.75">
      <c r="AC74" s="589"/>
      <c r="AD74" s="589"/>
      <c r="AE74" s="589"/>
      <c r="AF74" s="568"/>
      <c r="AG74" s="568"/>
      <c r="AH74" s="533"/>
      <c r="AI74" s="563"/>
      <c r="AJ74" s="716"/>
      <c r="AK74" s="569"/>
      <c r="AL74" s="569"/>
      <c r="AQ74" s="726"/>
      <c r="AR74" s="709"/>
      <c r="AS74" s="709"/>
      <c r="AU74" s="560"/>
    </row>
    <row r="75" spans="29:47" ht="12.75">
      <c r="AC75" s="589"/>
      <c r="AD75" s="589"/>
      <c r="AE75" s="589"/>
      <c r="AF75" s="568"/>
      <c r="AG75" s="568"/>
      <c r="AH75" s="533"/>
      <c r="AI75" s="563"/>
      <c r="AJ75" s="716"/>
      <c r="AK75" s="569"/>
      <c r="AL75" s="569"/>
      <c r="AQ75" s="726"/>
      <c r="AR75" s="709"/>
      <c r="AS75" s="709"/>
      <c r="AU75" s="560"/>
    </row>
    <row r="76" spans="29:55" ht="12.75">
      <c r="AC76" s="563"/>
      <c r="AD76" s="563"/>
      <c r="AE76" s="563"/>
      <c r="AF76" s="568"/>
      <c r="AG76" s="568"/>
      <c r="AH76" s="533"/>
      <c r="AI76" s="563"/>
      <c r="AJ76" s="716"/>
      <c r="AK76" s="569"/>
      <c r="AL76" s="569"/>
      <c r="AQ76" s="726"/>
      <c r="AR76" s="709"/>
      <c r="AS76" s="709"/>
      <c r="AU76" s="560"/>
      <c r="BC76" s="538"/>
    </row>
    <row r="77" spans="29:55" ht="12.75">
      <c r="AC77" s="563"/>
      <c r="AD77" s="563"/>
      <c r="AE77" s="563"/>
      <c r="AF77" s="568"/>
      <c r="AG77" s="568"/>
      <c r="AH77" s="533"/>
      <c r="AI77" s="563"/>
      <c r="AJ77" s="716"/>
      <c r="AK77" s="569"/>
      <c r="AL77" s="569"/>
      <c r="AQ77" s="726"/>
      <c r="AR77" s="709"/>
      <c r="AS77" s="709"/>
      <c r="AU77" s="560"/>
      <c r="AV77" s="561"/>
      <c r="AW77" s="561"/>
      <c r="BC77" s="538"/>
    </row>
    <row r="78" spans="29:55" ht="12.75">
      <c r="AC78" s="563"/>
      <c r="AD78" s="563"/>
      <c r="AE78" s="563"/>
      <c r="AF78" s="568"/>
      <c r="AG78" s="568"/>
      <c r="AH78" s="533"/>
      <c r="AI78" s="563"/>
      <c r="AJ78" s="716"/>
      <c r="AK78" s="569"/>
      <c r="AL78" s="569"/>
      <c r="AQ78" s="726"/>
      <c r="AR78" s="709"/>
      <c r="AS78" s="709"/>
      <c r="AU78" s="560"/>
      <c r="AV78" s="561"/>
      <c r="AW78" s="561"/>
      <c r="BC78" s="538"/>
    </row>
    <row r="79" spans="29:55" ht="12.75">
      <c r="AC79" s="563"/>
      <c r="AD79" s="563"/>
      <c r="AE79" s="563"/>
      <c r="AF79" s="568"/>
      <c r="AG79" s="568"/>
      <c r="AH79" s="533"/>
      <c r="AI79" s="563"/>
      <c r="AJ79" s="716"/>
      <c r="AK79" s="569"/>
      <c r="AL79" s="569"/>
      <c r="AQ79" s="726"/>
      <c r="AR79" s="709"/>
      <c r="AS79" s="709"/>
      <c r="AU79" s="560"/>
      <c r="AV79" s="561"/>
      <c r="AW79" s="561"/>
      <c r="BC79" s="538"/>
    </row>
    <row r="80" spans="29:55" ht="12.75">
      <c r="AC80" s="591"/>
      <c r="AD80" s="591"/>
      <c r="AE80" s="591"/>
      <c r="AF80" s="568"/>
      <c r="AG80" s="568"/>
      <c r="AH80" s="533"/>
      <c r="AI80" s="563"/>
      <c r="AJ80" s="716"/>
      <c r="AK80" s="569"/>
      <c r="AL80" s="569"/>
      <c r="AQ80" s="726"/>
      <c r="AR80" s="709"/>
      <c r="AS80" s="709"/>
      <c r="AU80" s="560"/>
      <c r="AV80" s="561"/>
      <c r="AW80" s="561"/>
      <c r="BC80" s="538"/>
    </row>
    <row r="81" spans="32:55" ht="12.75">
      <c r="AF81" s="568"/>
      <c r="AG81" s="568"/>
      <c r="AH81" s="533"/>
      <c r="AI81" s="563"/>
      <c r="AJ81" s="716"/>
      <c r="AK81" s="569"/>
      <c r="AL81" s="569"/>
      <c r="AQ81" s="726"/>
      <c r="AR81" s="709"/>
      <c r="AS81" s="709"/>
      <c r="AU81" s="560"/>
      <c r="AV81" s="561"/>
      <c r="AW81" s="561"/>
      <c r="BC81" s="538"/>
    </row>
    <row r="82" spans="32:55" ht="12.75">
      <c r="AF82" s="568"/>
      <c r="AG82" s="568"/>
      <c r="AH82" s="533"/>
      <c r="AI82" s="563"/>
      <c r="AJ82" s="716"/>
      <c r="AK82" s="569"/>
      <c r="AL82" s="569"/>
      <c r="AQ82" s="652"/>
      <c r="AR82" s="541"/>
      <c r="AS82" s="541"/>
      <c r="AU82" s="560"/>
      <c r="AV82" s="561"/>
      <c r="AW82" s="561"/>
      <c r="BC82" s="538"/>
    </row>
    <row r="83" spans="32:55" ht="12.75">
      <c r="AF83" s="568"/>
      <c r="AG83" s="568"/>
      <c r="AH83" s="533"/>
      <c r="AI83" s="563"/>
      <c r="AJ83" s="716"/>
      <c r="AK83" s="569"/>
      <c r="AL83" s="569"/>
      <c r="AQ83" s="652"/>
      <c r="AR83" s="541"/>
      <c r="AS83" s="541"/>
      <c r="AU83" s="560"/>
      <c r="AV83" s="561"/>
      <c r="AW83" s="561"/>
      <c r="AX83" s="561"/>
      <c r="BC83" s="538"/>
    </row>
    <row r="84" spans="32:55" ht="12.75">
      <c r="AF84" s="568"/>
      <c r="AG84" s="568"/>
      <c r="AH84" s="533"/>
      <c r="AI84" s="563"/>
      <c r="AJ84" s="716"/>
      <c r="AK84" s="569"/>
      <c r="AL84" s="569"/>
      <c r="AQ84" s="652"/>
      <c r="AR84" s="541"/>
      <c r="AS84" s="541"/>
      <c r="AU84" s="560"/>
      <c r="AV84" s="561"/>
      <c r="AW84" s="561"/>
      <c r="AX84" s="561"/>
      <c r="BC84" s="538"/>
    </row>
    <row r="85" spans="32:55" ht="12.75">
      <c r="AF85" s="568"/>
      <c r="AG85" s="568"/>
      <c r="AH85" s="533"/>
      <c r="AI85" s="563"/>
      <c r="AJ85" s="716"/>
      <c r="AK85" s="569"/>
      <c r="AL85" s="569"/>
      <c r="AQ85" s="652"/>
      <c r="AR85" s="541"/>
      <c r="AS85" s="541"/>
      <c r="AU85" s="560"/>
      <c r="AV85" s="561"/>
      <c r="AW85" s="561"/>
      <c r="AX85" s="561"/>
      <c r="BC85" s="538"/>
    </row>
    <row r="86" spans="32:55" ht="12.75">
      <c r="AF86" s="568"/>
      <c r="AG86" s="568"/>
      <c r="AH86" s="533"/>
      <c r="AI86" s="563"/>
      <c r="AJ86" s="716"/>
      <c r="AK86" s="569"/>
      <c r="AL86" s="569"/>
      <c r="AQ86" s="539"/>
      <c r="AR86" s="556"/>
      <c r="AS86" s="556"/>
      <c r="AU86" s="560"/>
      <c r="AV86" s="561"/>
      <c r="AW86" s="561"/>
      <c r="AX86" s="561"/>
      <c r="BC86" s="575"/>
    </row>
    <row r="87" spans="32:55" ht="12.75">
      <c r="AF87" s="568"/>
      <c r="AG87" s="568"/>
      <c r="AH87" s="533"/>
      <c r="AI87" s="563"/>
      <c r="AJ87" s="716"/>
      <c r="AK87" s="569"/>
      <c r="AL87" s="569"/>
      <c r="AU87" s="560"/>
      <c r="AV87" s="561"/>
      <c r="AW87" s="561"/>
      <c r="AX87" s="561"/>
      <c r="BC87" s="575"/>
    </row>
    <row r="88" spans="32:55" ht="12.75">
      <c r="AF88" s="568"/>
      <c r="AG88" s="568"/>
      <c r="AH88" s="533"/>
      <c r="AI88" s="563"/>
      <c r="AJ88" s="716"/>
      <c r="AK88" s="569"/>
      <c r="AL88" s="569"/>
      <c r="AU88" s="560"/>
      <c r="AV88" s="561"/>
      <c r="AW88" s="561"/>
      <c r="AX88" s="561"/>
      <c r="AY88" s="560"/>
      <c r="AZ88" s="561"/>
      <c r="BA88" s="561"/>
      <c r="BC88" s="575"/>
    </row>
    <row r="89" spans="32:60" ht="12.75">
      <c r="AF89" s="568"/>
      <c r="AG89" s="568"/>
      <c r="AH89" s="533"/>
      <c r="AI89" s="563"/>
      <c r="AJ89" s="716"/>
      <c r="AK89" s="569"/>
      <c r="AL89" s="569"/>
      <c r="AU89" s="560"/>
      <c r="AV89" s="561"/>
      <c r="AW89" s="561"/>
      <c r="AX89" s="561"/>
      <c r="AY89" s="560"/>
      <c r="AZ89" s="561"/>
      <c r="BA89" s="561"/>
      <c r="BC89" s="575"/>
      <c r="BH89" s="535"/>
    </row>
    <row r="90" spans="32:55" ht="12.75">
      <c r="AF90" s="568"/>
      <c r="AG90" s="568"/>
      <c r="AH90" s="533"/>
      <c r="AI90" s="563"/>
      <c r="AJ90" s="716"/>
      <c r="AK90" s="569"/>
      <c r="AL90" s="569"/>
      <c r="AU90" s="560"/>
      <c r="AV90" s="561"/>
      <c r="AW90" s="561"/>
      <c r="AX90" s="561"/>
      <c r="AY90" s="560"/>
      <c r="AZ90" s="561"/>
      <c r="BA90" s="561"/>
      <c r="BC90" s="575"/>
    </row>
    <row r="91" spans="32:57" ht="12.75">
      <c r="AF91" s="568"/>
      <c r="AG91" s="568"/>
      <c r="AH91" s="533"/>
      <c r="AI91" s="563"/>
      <c r="AJ91" s="716"/>
      <c r="AK91" s="569"/>
      <c r="AL91" s="569"/>
      <c r="AU91" s="560"/>
      <c r="AV91" s="561"/>
      <c r="AW91" s="561"/>
      <c r="AX91" s="561"/>
      <c r="AY91" s="560"/>
      <c r="AZ91" s="561"/>
      <c r="BA91" s="561"/>
      <c r="BC91" s="575"/>
      <c r="BD91" s="576"/>
      <c r="BE91" s="576"/>
    </row>
    <row r="92" spans="32:57" ht="12.75">
      <c r="AF92" s="587"/>
      <c r="AG92" s="568"/>
      <c r="AH92" s="533"/>
      <c r="AI92" s="563"/>
      <c r="AJ92" s="716"/>
      <c r="AK92" s="569"/>
      <c r="AL92" s="569"/>
      <c r="AU92" s="560"/>
      <c r="AV92" s="561"/>
      <c r="AW92" s="561"/>
      <c r="AX92" s="561"/>
      <c r="AY92" s="560"/>
      <c r="AZ92" s="561"/>
      <c r="BA92" s="561"/>
      <c r="BC92" s="575"/>
      <c r="BD92" s="576"/>
      <c r="BE92" s="576"/>
    </row>
    <row r="93" spans="32:57" ht="12.75">
      <c r="AF93" s="587"/>
      <c r="AG93" s="571"/>
      <c r="AH93" s="533"/>
      <c r="AI93" s="563"/>
      <c r="AJ93" s="716"/>
      <c r="AK93" s="569"/>
      <c r="AL93" s="569"/>
      <c r="AU93" s="560"/>
      <c r="AV93" s="561"/>
      <c r="AW93" s="561"/>
      <c r="AX93" s="561"/>
      <c r="AY93" s="560"/>
      <c r="AZ93" s="561"/>
      <c r="BA93" s="561"/>
      <c r="BC93" s="575"/>
      <c r="BD93" s="576"/>
      <c r="BE93" s="576"/>
    </row>
    <row r="94" spans="32:57" ht="12.75">
      <c r="AF94" s="587"/>
      <c r="AG94" s="568"/>
      <c r="AH94" s="533"/>
      <c r="AI94" s="563"/>
      <c r="AJ94" s="716"/>
      <c r="AK94" s="569"/>
      <c r="AL94" s="569"/>
      <c r="AU94" s="560"/>
      <c r="AV94" s="561"/>
      <c r="AW94" s="561"/>
      <c r="AX94" s="561"/>
      <c r="AY94" s="560"/>
      <c r="AZ94" s="561"/>
      <c r="BA94" s="561"/>
      <c r="BC94" s="575"/>
      <c r="BD94" s="576"/>
      <c r="BE94" s="576"/>
    </row>
    <row r="95" spans="32:57" ht="12.75">
      <c r="AF95" s="568"/>
      <c r="AG95" s="568"/>
      <c r="AH95" s="533"/>
      <c r="AI95" s="563"/>
      <c r="AJ95" s="716"/>
      <c r="AK95" s="569"/>
      <c r="AL95" s="569"/>
      <c r="AU95" s="560"/>
      <c r="AV95" s="561"/>
      <c r="AW95" s="561"/>
      <c r="AX95" s="561"/>
      <c r="AY95" s="560"/>
      <c r="AZ95" s="561"/>
      <c r="BA95" s="561"/>
      <c r="BC95" s="575"/>
      <c r="BD95" s="576"/>
      <c r="BE95" s="576"/>
    </row>
    <row r="96" spans="34:57" ht="12.75">
      <c r="AH96" s="533"/>
      <c r="AI96" s="563"/>
      <c r="AJ96" s="716"/>
      <c r="AK96" s="569"/>
      <c r="AL96" s="569"/>
      <c r="AM96" s="536">
        <v>0</v>
      </c>
      <c r="AN96" s="536">
        <v>0</v>
      </c>
      <c r="AU96" s="560"/>
      <c r="AV96" s="561"/>
      <c r="AW96" s="561"/>
      <c r="AX96" s="561"/>
      <c r="AY96" s="560"/>
      <c r="AZ96" s="561"/>
      <c r="BA96" s="561"/>
      <c r="BC96" s="575"/>
      <c r="BD96" s="576"/>
      <c r="BE96" s="576"/>
    </row>
    <row r="97" spans="34:57" ht="12.75">
      <c r="AH97" s="533"/>
      <c r="AI97" s="563"/>
      <c r="AJ97" s="716"/>
      <c r="AK97" s="569"/>
      <c r="AL97" s="569"/>
      <c r="AO97" s="536"/>
      <c r="AU97" s="560"/>
      <c r="AV97" s="561"/>
      <c r="AW97" s="561"/>
      <c r="AX97" s="561"/>
      <c r="AY97" s="560"/>
      <c r="AZ97" s="561"/>
      <c r="BA97" s="561"/>
      <c r="BC97" s="575"/>
      <c r="BD97" s="576"/>
      <c r="BE97" s="576"/>
    </row>
    <row r="98" spans="34:57" ht="12.75">
      <c r="AH98" s="533"/>
      <c r="AI98" s="563"/>
      <c r="AJ98" s="716"/>
      <c r="AK98" s="569"/>
      <c r="AL98" s="569"/>
      <c r="AU98" s="560"/>
      <c r="AV98" s="561"/>
      <c r="AW98" s="561"/>
      <c r="AX98" s="561"/>
      <c r="AY98" s="560"/>
      <c r="AZ98" s="561"/>
      <c r="BA98" s="561"/>
      <c r="BC98" s="575"/>
      <c r="BD98" s="576"/>
      <c r="BE98" s="576"/>
    </row>
    <row r="99" spans="32:57" ht="12.75">
      <c r="AF99" s="555"/>
      <c r="AH99" s="533"/>
      <c r="AI99" s="563"/>
      <c r="AJ99" s="716"/>
      <c r="AK99" s="569"/>
      <c r="AL99" s="569"/>
      <c r="AU99" s="560"/>
      <c r="AV99" s="561"/>
      <c r="AW99" s="561"/>
      <c r="AX99" s="561"/>
      <c r="AY99" s="560"/>
      <c r="AZ99" s="561"/>
      <c r="BA99" s="561"/>
      <c r="BC99" s="575"/>
      <c r="BD99" s="576"/>
      <c r="BE99" s="576"/>
    </row>
    <row r="100" spans="32:57" ht="12.75">
      <c r="AF100" s="588"/>
      <c r="AH100" s="533"/>
      <c r="AI100" s="563"/>
      <c r="AJ100" s="716"/>
      <c r="AK100" s="569"/>
      <c r="AL100" s="569"/>
      <c r="AU100" s="560"/>
      <c r="AV100" s="561"/>
      <c r="AW100" s="561"/>
      <c r="AX100" s="561"/>
      <c r="AY100" s="560"/>
      <c r="AZ100" s="561"/>
      <c r="BA100" s="561"/>
      <c r="BC100" s="575"/>
      <c r="BD100" s="576"/>
      <c r="BE100" s="576"/>
    </row>
    <row r="101" spans="34:57" ht="12.75">
      <c r="AH101" s="533"/>
      <c r="AI101" s="563"/>
      <c r="AJ101" s="716"/>
      <c r="AK101" s="569"/>
      <c r="AL101" s="569"/>
      <c r="AU101" s="560"/>
      <c r="AV101" s="561"/>
      <c r="AW101" s="561"/>
      <c r="AX101" s="561"/>
      <c r="AY101" s="560"/>
      <c r="AZ101" s="561"/>
      <c r="BA101" s="561"/>
      <c r="BC101" s="575"/>
      <c r="BD101" s="576"/>
      <c r="BE101" s="576"/>
    </row>
    <row r="102" spans="34:57" ht="12.75">
      <c r="AH102" s="533"/>
      <c r="AI102" s="563"/>
      <c r="AJ102" s="716"/>
      <c r="AK102" s="569"/>
      <c r="AL102" s="569"/>
      <c r="AU102" s="560"/>
      <c r="AV102" s="561"/>
      <c r="AW102" s="561"/>
      <c r="AX102" s="561"/>
      <c r="AY102" s="560"/>
      <c r="AZ102" s="561"/>
      <c r="BA102" s="561"/>
      <c r="BC102" s="575"/>
      <c r="BD102" s="576"/>
      <c r="BE102" s="576"/>
    </row>
    <row r="103" spans="34:57" ht="12.75">
      <c r="AH103" s="533"/>
      <c r="AI103" s="563"/>
      <c r="AJ103" s="716"/>
      <c r="AK103" s="569"/>
      <c r="AL103" s="569"/>
      <c r="AU103" s="560"/>
      <c r="AV103" s="561"/>
      <c r="AW103" s="561"/>
      <c r="AX103" s="561"/>
      <c r="AY103" s="560"/>
      <c r="AZ103" s="556"/>
      <c r="BA103" s="556"/>
      <c r="BC103" s="575"/>
      <c r="BD103" s="576"/>
      <c r="BE103" s="576"/>
    </row>
    <row r="104" spans="34:57" ht="12.75">
      <c r="AH104" s="533"/>
      <c r="AI104" s="563"/>
      <c r="AJ104" s="716"/>
      <c r="AK104" s="569"/>
      <c r="AL104" s="569"/>
      <c r="AU104" s="560"/>
      <c r="AV104" s="561"/>
      <c r="AW104" s="561"/>
      <c r="AX104" s="561"/>
      <c r="AY104" s="560"/>
      <c r="AZ104" s="556"/>
      <c r="BA104" s="556"/>
      <c r="BC104" s="575"/>
      <c r="BD104" s="576"/>
      <c r="BE104" s="576"/>
    </row>
    <row r="105" spans="34:57" ht="12.75">
      <c r="AH105" s="533"/>
      <c r="AI105" s="563"/>
      <c r="AJ105" s="716"/>
      <c r="AK105" s="569"/>
      <c r="AL105" s="569"/>
      <c r="AU105" s="560"/>
      <c r="AV105" s="556"/>
      <c r="AW105" s="556"/>
      <c r="AX105" s="561"/>
      <c r="AY105" s="560"/>
      <c r="AZ105" s="556"/>
      <c r="BA105" s="556"/>
      <c r="BC105" s="575"/>
      <c r="BD105" s="576"/>
      <c r="BE105" s="576"/>
    </row>
    <row r="106" spans="34:57" ht="12.75">
      <c r="AH106" s="533"/>
      <c r="AI106" s="563"/>
      <c r="AJ106" s="716"/>
      <c r="AK106" s="569"/>
      <c r="AL106" s="569"/>
      <c r="AU106" s="560"/>
      <c r="AV106" s="556"/>
      <c r="AW106" s="556"/>
      <c r="AX106" s="561"/>
      <c r="AY106" s="560"/>
      <c r="AZ106" s="561"/>
      <c r="BA106" s="561"/>
      <c r="BC106" s="575"/>
      <c r="BD106" s="576"/>
      <c r="BE106" s="576"/>
    </row>
    <row r="107" spans="34:57" ht="12.75">
      <c r="AH107" s="533"/>
      <c r="AI107" s="563"/>
      <c r="AJ107" s="716"/>
      <c r="AK107" s="569"/>
      <c r="AL107" s="569"/>
      <c r="AU107" s="560"/>
      <c r="AV107" s="556"/>
      <c r="AW107" s="556"/>
      <c r="AX107" s="561"/>
      <c r="AY107" s="560"/>
      <c r="AZ107" s="561"/>
      <c r="BA107" s="561"/>
      <c r="BC107" s="575"/>
      <c r="BD107" s="576"/>
      <c r="BE107" s="576"/>
    </row>
    <row r="108" spans="34:57" ht="12.75">
      <c r="AH108" s="533"/>
      <c r="AI108" s="563"/>
      <c r="AJ108" s="716"/>
      <c r="AK108" s="569"/>
      <c r="AL108" s="569"/>
      <c r="AU108" s="560"/>
      <c r="AV108" s="561"/>
      <c r="AW108" s="561"/>
      <c r="AX108" s="561"/>
      <c r="AY108" s="560"/>
      <c r="AZ108" s="561"/>
      <c r="BA108" s="561"/>
      <c r="BC108" s="575"/>
      <c r="BD108" s="576"/>
      <c r="BE108" s="576"/>
    </row>
    <row r="109" spans="34:57" ht="12.75">
      <c r="AH109" s="533"/>
      <c r="AI109" s="591"/>
      <c r="AJ109" s="716"/>
      <c r="AK109" s="569"/>
      <c r="AL109" s="569"/>
      <c r="AU109" s="560"/>
      <c r="AV109" s="561"/>
      <c r="AW109" s="561"/>
      <c r="AX109" s="561"/>
      <c r="AY109" s="560"/>
      <c r="AZ109" s="561"/>
      <c r="BA109" s="561"/>
      <c r="BC109" s="575"/>
      <c r="BD109" s="576"/>
      <c r="BE109" s="576"/>
    </row>
    <row r="110" spans="36:57" ht="12.75">
      <c r="AJ110" s="716"/>
      <c r="AK110" s="569"/>
      <c r="AL110" s="569"/>
      <c r="AU110" s="560"/>
      <c r="AV110" s="561"/>
      <c r="AW110" s="561"/>
      <c r="AX110" s="561"/>
      <c r="AY110" s="560"/>
      <c r="AZ110" s="561"/>
      <c r="BA110" s="561"/>
      <c r="BC110" s="575"/>
      <c r="BD110" s="576"/>
      <c r="BE110" s="576"/>
    </row>
    <row r="111" spans="36:57" ht="12.75">
      <c r="AJ111" s="716"/>
      <c r="AK111" s="569"/>
      <c r="AL111" s="569"/>
      <c r="AU111" s="560"/>
      <c r="AV111" s="561"/>
      <c r="AW111" s="561"/>
      <c r="AX111" s="556"/>
      <c r="AY111" s="560"/>
      <c r="AZ111" s="561"/>
      <c r="BA111" s="561"/>
      <c r="BC111" s="575"/>
      <c r="BD111" s="576"/>
      <c r="BE111" s="576"/>
    </row>
    <row r="112" spans="36:57" ht="12.75">
      <c r="AJ112" s="716"/>
      <c r="AK112" s="569"/>
      <c r="AL112" s="569"/>
      <c r="AU112" s="560"/>
      <c r="AV112" s="561"/>
      <c r="AW112" s="561"/>
      <c r="AX112" s="556"/>
      <c r="AY112" s="560"/>
      <c r="AZ112" s="561"/>
      <c r="BA112" s="561"/>
      <c r="BC112" s="575"/>
      <c r="BD112" s="576"/>
      <c r="BE112" s="576"/>
    </row>
    <row r="113" spans="36:57" ht="12.75">
      <c r="AJ113" s="716"/>
      <c r="AK113" s="569"/>
      <c r="AL113" s="569"/>
      <c r="AU113" s="560"/>
      <c r="AV113" s="561"/>
      <c r="AW113" s="561"/>
      <c r="AX113" s="556"/>
      <c r="AY113" s="560"/>
      <c r="AZ113" s="561"/>
      <c r="BA113" s="561"/>
      <c r="BC113" s="575"/>
      <c r="BD113" s="576"/>
      <c r="BE113" s="576"/>
    </row>
    <row r="114" spans="36:57" ht="12.75">
      <c r="AJ114" s="716"/>
      <c r="AK114" s="569"/>
      <c r="AL114" s="569"/>
      <c r="AU114" s="560"/>
      <c r="AV114" s="561"/>
      <c r="AW114" s="561"/>
      <c r="AX114" s="561"/>
      <c r="AY114" s="560"/>
      <c r="AZ114" s="561"/>
      <c r="BA114" s="561"/>
      <c r="BC114" s="575"/>
      <c r="BD114" s="576"/>
      <c r="BE114" s="576"/>
    </row>
    <row r="115" spans="36:57" ht="12.75">
      <c r="AJ115" s="716"/>
      <c r="AK115" s="573"/>
      <c r="AL115" s="573"/>
      <c r="AU115" s="560"/>
      <c r="AV115" s="561"/>
      <c r="AW115" s="561"/>
      <c r="AX115" s="561"/>
      <c r="AY115" s="560"/>
      <c r="AZ115" s="561"/>
      <c r="BA115" s="561"/>
      <c r="BC115" s="575"/>
      <c r="BD115" s="576"/>
      <c r="BE115" s="576"/>
    </row>
    <row r="116" spans="36:57" ht="12.75">
      <c r="AJ116" s="717"/>
      <c r="AU116" s="560"/>
      <c r="AV116" s="561"/>
      <c r="AW116" s="561"/>
      <c r="AX116" s="561"/>
      <c r="AY116" s="560"/>
      <c r="AZ116" s="561"/>
      <c r="BA116" s="561"/>
      <c r="BC116" s="575"/>
      <c r="BD116" s="576"/>
      <c r="BE116" s="576"/>
    </row>
    <row r="117" spans="47:57" ht="12.75">
      <c r="AU117" s="560"/>
      <c r="AV117" s="561"/>
      <c r="AW117" s="561"/>
      <c r="AX117" s="561"/>
      <c r="AY117" s="560"/>
      <c r="AZ117" s="561"/>
      <c r="BA117" s="561"/>
      <c r="BC117" s="575"/>
      <c r="BD117" s="576"/>
      <c r="BE117" s="576"/>
    </row>
    <row r="118" spans="37:57" ht="12.75">
      <c r="AK118" s="569"/>
      <c r="AL118" s="569"/>
      <c r="AM118" s="614"/>
      <c r="AN118" s="614"/>
      <c r="AU118" s="560"/>
      <c r="AV118" s="561"/>
      <c r="AW118" s="561"/>
      <c r="AX118" s="561"/>
      <c r="AY118" s="560"/>
      <c r="AZ118" s="561"/>
      <c r="BA118" s="561"/>
      <c r="BC118" s="575"/>
      <c r="BD118" s="576"/>
      <c r="BE118" s="576"/>
    </row>
    <row r="119" spans="36:57" ht="12.75">
      <c r="AJ119" s="716"/>
      <c r="AK119" s="569"/>
      <c r="AL119" s="569"/>
      <c r="AM119" s="614"/>
      <c r="AN119" s="614"/>
      <c r="AO119" s="536"/>
      <c r="AU119" s="560"/>
      <c r="AV119" s="561"/>
      <c r="AW119" s="561"/>
      <c r="AX119" s="561"/>
      <c r="AY119" s="560"/>
      <c r="AZ119" s="561"/>
      <c r="BA119" s="561"/>
      <c r="BC119" s="575"/>
      <c r="BD119" s="576"/>
      <c r="BE119" s="576"/>
    </row>
    <row r="120" spans="36:57" ht="12.75">
      <c r="AJ120" s="716"/>
      <c r="AK120" s="569"/>
      <c r="AL120" s="569"/>
      <c r="AM120" s="614"/>
      <c r="AN120" s="614"/>
      <c r="AO120" s="536"/>
      <c r="AU120" s="560"/>
      <c r="AV120" s="561"/>
      <c r="AW120" s="561"/>
      <c r="AX120" s="561"/>
      <c r="AY120" s="560"/>
      <c r="AZ120" s="561"/>
      <c r="BA120" s="561"/>
      <c r="BC120" s="575"/>
      <c r="BD120" s="576"/>
      <c r="BE120" s="576"/>
    </row>
    <row r="121" spans="34:57" ht="12.75">
      <c r="AH121" s="555"/>
      <c r="AI121" s="555"/>
      <c r="AJ121" s="716"/>
      <c r="AK121" s="569"/>
      <c r="AL121" s="569"/>
      <c r="AM121" s="555"/>
      <c r="AN121" s="614"/>
      <c r="AO121" s="536"/>
      <c r="AQ121" s="539"/>
      <c r="AR121" s="556"/>
      <c r="AS121" s="556"/>
      <c r="AU121" s="560"/>
      <c r="AV121" s="561"/>
      <c r="AW121" s="561"/>
      <c r="AX121" s="561"/>
      <c r="AY121" s="560"/>
      <c r="AZ121" s="561"/>
      <c r="BA121" s="561"/>
      <c r="BC121" s="575"/>
      <c r="BD121" s="576"/>
      <c r="BE121" s="576"/>
    </row>
    <row r="122" spans="34:57" ht="12.75">
      <c r="AH122" s="555"/>
      <c r="AI122" s="555"/>
      <c r="AJ122" s="716"/>
      <c r="AK122" s="573"/>
      <c r="AL122" s="573"/>
      <c r="AM122" s="575"/>
      <c r="AN122" s="588"/>
      <c r="AO122" s="536"/>
      <c r="AQ122" s="539"/>
      <c r="AR122" s="556"/>
      <c r="AS122" s="556"/>
      <c r="AU122" s="560"/>
      <c r="AV122" s="561"/>
      <c r="AW122" s="561"/>
      <c r="AX122" s="561"/>
      <c r="AY122" s="560"/>
      <c r="AZ122" s="561"/>
      <c r="BA122" s="561"/>
      <c r="BC122" s="575"/>
      <c r="BD122" s="576"/>
      <c r="BE122" s="576"/>
    </row>
    <row r="123" spans="34:57" ht="12.75">
      <c r="AH123" s="555"/>
      <c r="AI123" s="555"/>
      <c r="AJ123" s="717"/>
      <c r="AM123" s="555"/>
      <c r="AN123" s="555"/>
      <c r="AO123" s="588"/>
      <c r="AQ123" s="539"/>
      <c r="AR123" s="556"/>
      <c r="AS123" s="556"/>
      <c r="AU123" s="560"/>
      <c r="AV123" s="561"/>
      <c r="AW123" s="561"/>
      <c r="AX123" s="561"/>
      <c r="AY123" s="560"/>
      <c r="AZ123" s="561"/>
      <c r="BA123" s="561"/>
      <c r="BC123" s="575"/>
      <c r="BD123" s="576"/>
      <c r="BE123" s="576"/>
    </row>
    <row r="124" spans="34:57" ht="12.75">
      <c r="AH124" s="555"/>
      <c r="AI124" s="555"/>
      <c r="AQ124" s="539"/>
      <c r="AR124" s="556"/>
      <c r="AS124" s="556"/>
      <c r="AU124" s="560"/>
      <c r="AV124" s="561"/>
      <c r="AW124" s="561"/>
      <c r="AX124" s="561"/>
      <c r="AY124" s="560"/>
      <c r="AZ124" s="561"/>
      <c r="BA124" s="561"/>
      <c r="BC124" s="575"/>
      <c r="BD124" s="576"/>
      <c r="BE124" s="576"/>
    </row>
    <row r="125" spans="34:57" ht="12.75">
      <c r="AH125" s="555"/>
      <c r="AI125" s="555"/>
      <c r="AQ125" s="539"/>
      <c r="AR125" s="556"/>
      <c r="AS125" s="556"/>
      <c r="AU125" s="560"/>
      <c r="AV125" s="561"/>
      <c r="AW125" s="561"/>
      <c r="AX125" s="561"/>
      <c r="AY125" s="560"/>
      <c r="AZ125" s="561"/>
      <c r="BA125" s="561"/>
      <c r="BC125" s="575"/>
      <c r="BD125" s="576"/>
      <c r="BE125" s="576"/>
    </row>
    <row r="126" spans="34:57" ht="12.75">
      <c r="AH126" s="555"/>
      <c r="AI126" s="555"/>
      <c r="AQ126" s="539"/>
      <c r="AR126" s="556"/>
      <c r="AS126" s="556"/>
      <c r="AU126" s="560"/>
      <c r="AV126" s="561"/>
      <c r="AW126" s="561"/>
      <c r="AX126" s="561"/>
      <c r="AY126" s="560"/>
      <c r="AZ126" s="561"/>
      <c r="BA126" s="561"/>
      <c r="BC126" s="575"/>
      <c r="BD126" s="576"/>
      <c r="BE126" s="576"/>
    </row>
    <row r="127" spans="34:57" ht="12.75">
      <c r="AH127" s="555"/>
      <c r="AI127" s="555"/>
      <c r="AU127" s="560"/>
      <c r="AV127" s="561"/>
      <c r="AW127" s="561"/>
      <c r="AX127" s="561"/>
      <c r="AY127" s="560"/>
      <c r="AZ127" s="561"/>
      <c r="BA127" s="561"/>
      <c r="BC127" s="575"/>
      <c r="BD127" s="576"/>
      <c r="BE127" s="576"/>
    </row>
    <row r="128" spans="34:57" ht="12.75">
      <c r="AH128" s="586"/>
      <c r="AI128" s="598"/>
      <c r="AU128" s="560"/>
      <c r="AV128" s="561"/>
      <c r="AW128" s="561"/>
      <c r="AX128" s="561"/>
      <c r="AY128" s="560"/>
      <c r="AZ128" s="561"/>
      <c r="BA128" s="561"/>
      <c r="BC128" s="575"/>
      <c r="BD128" s="576"/>
      <c r="BE128" s="576"/>
    </row>
    <row r="129" spans="34:57" ht="12.75">
      <c r="AH129" s="586"/>
      <c r="AI129" s="599"/>
      <c r="AU129" s="560"/>
      <c r="AV129" s="561"/>
      <c r="AW129" s="561"/>
      <c r="AX129" s="561"/>
      <c r="AY129" s="560"/>
      <c r="AZ129" s="561"/>
      <c r="BA129" s="561"/>
      <c r="BC129" s="575"/>
      <c r="BD129" s="576"/>
      <c r="BE129" s="576"/>
    </row>
    <row r="130" spans="34:57" ht="12.75">
      <c r="AH130" s="586"/>
      <c r="AI130" s="599"/>
      <c r="AU130" s="560"/>
      <c r="AV130" s="561"/>
      <c r="AW130" s="561"/>
      <c r="AX130" s="561"/>
      <c r="AY130" s="560"/>
      <c r="AZ130" s="561"/>
      <c r="BA130" s="561"/>
      <c r="BC130" s="575"/>
      <c r="BD130" s="576"/>
      <c r="BE130" s="576"/>
    </row>
    <row r="131" spans="34:57" ht="12.75">
      <c r="AH131" s="586"/>
      <c r="AI131" s="599"/>
      <c r="AU131" s="560"/>
      <c r="AV131" s="561"/>
      <c r="AW131" s="561"/>
      <c r="AX131" s="561"/>
      <c r="AY131" s="560"/>
      <c r="AZ131" s="561"/>
      <c r="BA131" s="561"/>
      <c r="BC131" s="575"/>
      <c r="BD131" s="576"/>
      <c r="BE131" s="576"/>
    </row>
    <row r="132" spans="34:57" ht="12.75">
      <c r="AH132" s="555"/>
      <c r="AI132" s="599"/>
      <c r="AU132" s="560"/>
      <c r="AV132" s="561"/>
      <c r="AW132" s="561"/>
      <c r="AX132" s="561"/>
      <c r="AY132" s="560"/>
      <c r="AZ132" s="561"/>
      <c r="BA132" s="561"/>
      <c r="BC132" s="575"/>
      <c r="BD132" s="576"/>
      <c r="BE132" s="576"/>
    </row>
    <row r="133" spans="34:57" ht="12.75">
      <c r="AH133" s="555"/>
      <c r="AI133" s="577"/>
      <c r="AU133" s="560"/>
      <c r="AV133" s="561"/>
      <c r="AW133" s="561"/>
      <c r="AX133" s="561"/>
      <c r="AY133" s="560"/>
      <c r="AZ133" s="561"/>
      <c r="BA133" s="561"/>
      <c r="BC133" s="575"/>
      <c r="BD133" s="576"/>
      <c r="BE133" s="576"/>
    </row>
    <row r="134" spans="34:57" ht="12.75">
      <c r="AH134" s="555"/>
      <c r="AI134" s="577"/>
      <c r="AQ134" s="539"/>
      <c r="AR134" s="556"/>
      <c r="AS134" s="556"/>
      <c r="AU134" s="560"/>
      <c r="AV134" s="561"/>
      <c r="AW134" s="561"/>
      <c r="AX134" s="561"/>
      <c r="AY134" s="560"/>
      <c r="AZ134" s="561"/>
      <c r="BA134" s="561"/>
      <c r="BC134" s="575"/>
      <c r="BD134" s="576"/>
      <c r="BE134" s="576"/>
    </row>
    <row r="135" spans="34:57" ht="12.75">
      <c r="AH135" s="555"/>
      <c r="AI135" s="577"/>
      <c r="AQ135" s="539"/>
      <c r="AR135" s="556"/>
      <c r="AS135" s="556"/>
      <c r="AU135" s="560"/>
      <c r="AV135" s="561"/>
      <c r="AW135" s="561"/>
      <c r="AX135" s="561"/>
      <c r="AY135" s="560"/>
      <c r="AZ135" s="561"/>
      <c r="BA135" s="561"/>
      <c r="BC135" s="575"/>
      <c r="BD135" s="576"/>
      <c r="BE135" s="576"/>
    </row>
    <row r="136" spans="34:57" ht="12.75">
      <c r="AH136" s="555"/>
      <c r="AI136" s="555"/>
      <c r="AQ136" s="560"/>
      <c r="AR136" s="561"/>
      <c r="AS136" s="561"/>
      <c r="AU136" s="560"/>
      <c r="AV136" s="561"/>
      <c r="AW136" s="561"/>
      <c r="AX136" s="561"/>
      <c r="AY136" s="560"/>
      <c r="AZ136" s="561"/>
      <c r="BA136" s="561"/>
      <c r="BC136" s="575"/>
      <c r="BD136" s="576"/>
      <c r="BE136" s="576"/>
    </row>
    <row r="137" spans="34:57" ht="12.75">
      <c r="AH137" s="555"/>
      <c r="AI137" s="555"/>
      <c r="AQ137" s="560"/>
      <c r="AR137" s="561"/>
      <c r="AS137" s="561"/>
      <c r="AU137" s="560"/>
      <c r="AV137" s="561"/>
      <c r="AW137" s="561"/>
      <c r="AX137" s="561"/>
      <c r="AY137" s="560"/>
      <c r="AZ137" s="561"/>
      <c r="BA137" s="561"/>
      <c r="BC137" s="575"/>
      <c r="BD137" s="576"/>
      <c r="BE137" s="576"/>
    </row>
    <row r="138" spans="34:57" ht="12.75">
      <c r="AH138" s="555"/>
      <c r="AI138" s="555"/>
      <c r="AQ138" s="560"/>
      <c r="AR138" s="561"/>
      <c r="AS138" s="561"/>
      <c r="AU138" s="560"/>
      <c r="AV138" s="561"/>
      <c r="AW138" s="561"/>
      <c r="AX138" s="561"/>
      <c r="AY138" s="560"/>
      <c r="AZ138" s="561"/>
      <c r="BA138" s="561"/>
      <c r="BC138" s="575"/>
      <c r="BD138" s="576"/>
      <c r="BE138" s="576"/>
    </row>
    <row r="139" spans="34:57" ht="12.75">
      <c r="AH139" s="555"/>
      <c r="AI139" s="555"/>
      <c r="AQ139" s="560"/>
      <c r="AR139" s="561"/>
      <c r="AS139" s="561"/>
      <c r="AU139" s="560"/>
      <c r="AV139" s="561"/>
      <c r="AW139" s="561"/>
      <c r="AX139" s="561"/>
      <c r="AY139" s="560"/>
      <c r="AZ139" s="561"/>
      <c r="BA139" s="561"/>
      <c r="BC139" s="575"/>
      <c r="BD139" s="576"/>
      <c r="BE139" s="576"/>
    </row>
    <row r="140" spans="34:57" ht="12.75">
      <c r="AH140" s="555"/>
      <c r="AI140" s="555"/>
      <c r="AQ140" s="560"/>
      <c r="AR140" s="561"/>
      <c r="AS140" s="561"/>
      <c r="AU140" s="560"/>
      <c r="AV140" s="561"/>
      <c r="AW140" s="561"/>
      <c r="AX140" s="561"/>
      <c r="AY140" s="560"/>
      <c r="AZ140" s="561"/>
      <c r="BA140" s="561"/>
      <c r="BC140" s="575"/>
      <c r="BD140" s="576"/>
      <c r="BE140" s="576"/>
    </row>
    <row r="141" spans="34:57" ht="12.75">
      <c r="AH141" s="555"/>
      <c r="AI141" s="555"/>
      <c r="AQ141" s="560"/>
      <c r="AR141" s="561"/>
      <c r="AS141" s="561"/>
      <c r="AU141" s="560"/>
      <c r="AV141" s="561"/>
      <c r="AW141" s="561"/>
      <c r="AX141" s="561"/>
      <c r="AY141" s="560"/>
      <c r="AZ141" s="561"/>
      <c r="BA141" s="561"/>
      <c r="BC141" s="575"/>
      <c r="BD141" s="576"/>
      <c r="BE141" s="576"/>
    </row>
    <row r="142" spans="34:57" ht="12.75">
      <c r="AH142" s="555"/>
      <c r="AI142" s="555"/>
      <c r="AQ142" s="560"/>
      <c r="AR142" s="561"/>
      <c r="AS142" s="561"/>
      <c r="AU142" s="560"/>
      <c r="AV142" s="561"/>
      <c r="AW142" s="561"/>
      <c r="AX142" s="561"/>
      <c r="AY142" s="560"/>
      <c r="AZ142" s="561"/>
      <c r="BA142" s="561"/>
      <c r="BC142" s="575"/>
      <c r="BD142" s="576"/>
      <c r="BE142" s="576"/>
    </row>
    <row r="143" spans="34:57" ht="12.75">
      <c r="AH143" s="555"/>
      <c r="AI143" s="555"/>
      <c r="AQ143" s="560"/>
      <c r="AR143" s="561"/>
      <c r="AS143" s="561"/>
      <c r="AU143" s="560"/>
      <c r="AV143" s="561"/>
      <c r="AW143" s="561"/>
      <c r="AX143" s="561"/>
      <c r="AY143" s="560"/>
      <c r="AZ143" s="561"/>
      <c r="BA143" s="561"/>
      <c r="BC143" s="575"/>
      <c r="BD143" s="576"/>
      <c r="BE143" s="576"/>
    </row>
    <row r="144" spans="34:57" ht="12.75">
      <c r="AH144" s="555"/>
      <c r="AI144" s="555"/>
      <c r="AQ144" s="560"/>
      <c r="AR144" s="561"/>
      <c r="AS144" s="561"/>
      <c r="AU144" s="560"/>
      <c r="AV144" s="561"/>
      <c r="AW144" s="561"/>
      <c r="AX144" s="561"/>
      <c r="AY144" s="560"/>
      <c r="AZ144" s="562"/>
      <c r="BA144" s="562"/>
      <c r="BC144" s="575"/>
      <c r="BD144" s="576"/>
      <c r="BE144" s="576"/>
    </row>
    <row r="145" spans="34:57" ht="12.75">
      <c r="AH145" s="555"/>
      <c r="AI145" s="555"/>
      <c r="AQ145" s="560"/>
      <c r="AR145" s="561"/>
      <c r="AS145" s="561"/>
      <c r="AU145" s="560"/>
      <c r="AV145" s="561"/>
      <c r="AW145" s="561"/>
      <c r="AX145" s="561"/>
      <c r="BC145" s="575"/>
      <c r="BD145" s="576"/>
      <c r="BE145" s="576"/>
    </row>
    <row r="146" spans="34:57" ht="12.75">
      <c r="AH146" s="555"/>
      <c r="AI146" s="555"/>
      <c r="AQ146" s="560"/>
      <c r="AR146" s="561"/>
      <c r="AS146" s="561"/>
      <c r="AU146" s="560"/>
      <c r="AV146" s="561"/>
      <c r="AW146" s="561"/>
      <c r="AX146" s="561"/>
      <c r="BC146" s="575"/>
      <c r="BD146" s="576"/>
      <c r="BE146" s="576"/>
    </row>
    <row r="147" spans="34:57" ht="12.75">
      <c r="AH147" s="555"/>
      <c r="AI147" s="555"/>
      <c r="AQ147" s="560"/>
      <c r="AR147" s="561"/>
      <c r="AS147" s="561"/>
      <c r="AU147" s="560"/>
      <c r="AV147" s="561"/>
      <c r="AW147" s="561"/>
      <c r="AX147" s="561"/>
      <c r="BC147" s="575"/>
      <c r="BD147" s="576"/>
      <c r="BE147" s="576"/>
    </row>
    <row r="148" spans="34:57" ht="12.75">
      <c r="AH148" s="555"/>
      <c r="AI148" s="555"/>
      <c r="AQ148" s="560"/>
      <c r="AR148" s="561"/>
      <c r="AS148" s="561"/>
      <c r="AU148" s="560"/>
      <c r="AV148" s="561"/>
      <c r="AW148" s="561"/>
      <c r="AX148" s="561"/>
      <c r="BC148" s="575"/>
      <c r="BD148" s="576"/>
      <c r="BE148" s="576"/>
    </row>
    <row r="149" spans="34:57" ht="12.75">
      <c r="AH149" s="555"/>
      <c r="AI149" s="555"/>
      <c r="AQ149" s="560"/>
      <c r="AR149" s="561"/>
      <c r="AS149" s="561"/>
      <c r="AU149" s="560"/>
      <c r="AV149" s="562"/>
      <c r="AW149" s="562"/>
      <c r="AX149" s="561"/>
      <c r="BC149" s="575"/>
      <c r="BD149" s="576"/>
      <c r="BE149" s="576"/>
    </row>
    <row r="150" spans="34:57" ht="12.75">
      <c r="AH150" s="555"/>
      <c r="AI150" s="555"/>
      <c r="AQ150" s="560"/>
      <c r="AR150" s="561"/>
      <c r="AS150" s="561"/>
      <c r="AX150" s="561"/>
      <c r="BC150" s="575"/>
      <c r="BD150" s="576"/>
      <c r="BE150" s="576"/>
    </row>
    <row r="151" spans="34:57" ht="12.75">
      <c r="AH151" s="555"/>
      <c r="AI151" s="555"/>
      <c r="AS151" s="561"/>
      <c r="AX151" s="561"/>
      <c r="BC151" s="575"/>
      <c r="BD151" s="576"/>
      <c r="BE151" s="576"/>
    </row>
    <row r="152" spans="34:57" ht="12.75">
      <c r="AH152" s="555"/>
      <c r="AI152" s="555"/>
      <c r="AS152" s="561"/>
      <c r="AX152" s="561"/>
      <c r="BC152" s="575"/>
      <c r="BD152" s="576"/>
      <c r="BE152" s="576"/>
    </row>
    <row r="153" spans="34:57" ht="12.75">
      <c r="AH153" s="555"/>
      <c r="AI153" s="555"/>
      <c r="AS153" s="561"/>
      <c r="AX153" s="561"/>
      <c r="BC153" s="575"/>
      <c r="BD153" s="576"/>
      <c r="BE153" s="576"/>
    </row>
    <row r="154" spans="34:57" ht="12.75">
      <c r="AH154" s="555"/>
      <c r="AI154" s="555"/>
      <c r="AS154" s="561"/>
      <c r="AX154" s="561"/>
      <c r="BC154" s="575"/>
      <c r="BD154" s="576"/>
      <c r="BE154" s="576"/>
    </row>
    <row r="155" spans="34:57" ht="12.75">
      <c r="AH155" s="555"/>
      <c r="AI155" s="555"/>
      <c r="AS155" s="561"/>
      <c r="AX155" s="562"/>
      <c r="BC155" s="575"/>
      <c r="BD155" s="576"/>
      <c r="BE155" s="576"/>
    </row>
    <row r="156" spans="34:57" ht="12.75">
      <c r="AH156" s="555"/>
      <c r="AI156" s="555"/>
      <c r="AQ156" s="539"/>
      <c r="AR156" s="556"/>
      <c r="AS156" s="561"/>
      <c r="BC156" s="575"/>
      <c r="BD156" s="576"/>
      <c r="BE156" s="576"/>
    </row>
    <row r="157" spans="34:57" ht="12.75">
      <c r="AH157" s="555"/>
      <c r="AI157" s="555"/>
      <c r="AQ157" s="560"/>
      <c r="AR157" s="561"/>
      <c r="AS157" s="561"/>
      <c r="BC157" s="575"/>
      <c r="BD157" s="576"/>
      <c r="BE157" s="576"/>
    </row>
    <row r="158" spans="34:57" ht="12.75">
      <c r="AH158" s="555"/>
      <c r="AI158" s="555"/>
      <c r="AQ158" s="560"/>
      <c r="AR158" s="561"/>
      <c r="AS158" s="561"/>
      <c r="BC158" s="575"/>
      <c r="BD158" s="576"/>
      <c r="BE158" s="576"/>
    </row>
    <row r="159" spans="34:57" ht="12.75">
      <c r="AH159" s="555"/>
      <c r="AI159" s="555"/>
      <c r="AQ159" s="560"/>
      <c r="AR159" s="561"/>
      <c r="AS159" s="561"/>
      <c r="BC159" s="555"/>
      <c r="BD159" s="576"/>
      <c r="BE159" s="576"/>
    </row>
    <row r="160" spans="34:57" ht="12.75">
      <c r="AH160" s="555"/>
      <c r="AI160" s="555"/>
      <c r="AQ160" s="560"/>
      <c r="AR160" s="561"/>
      <c r="AS160" s="561"/>
      <c r="BC160" s="555"/>
      <c r="BD160" s="576"/>
      <c r="BE160" s="576"/>
    </row>
    <row r="161" spans="34:57" ht="12.75">
      <c r="AH161" s="555"/>
      <c r="AI161" s="555"/>
      <c r="AQ161" s="560"/>
      <c r="AR161" s="561"/>
      <c r="AS161" s="561"/>
      <c r="BC161" s="555"/>
      <c r="BD161" s="576"/>
      <c r="BE161" s="576"/>
    </row>
    <row r="162" spans="34:57" ht="12.75">
      <c r="AH162" s="555"/>
      <c r="AI162" s="555"/>
      <c r="AQ162" s="560"/>
      <c r="AR162" s="561"/>
      <c r="AS162" s="561"/>
      <c r="BC162" s="555"/>
      <c r="BD162" s="576"/>
      <c r="BE162" s="576"/>
    </row>
    <row r="163" spans="34:57" ht="12.75">
      <c r="AH163" s="555"/>
      <c r="AI163" s="555"/>
      <c r="AQ163" s="560"/>
      <c r="AR163" s="561"/>
      <c r="AS163" s="561"/>
      <c r="BC163" s="555"/>
      <c r="BD163" s="576"/>
      <c r="BE163" s="576"/>
    </row>
    <row r="164" spans="34:57" ht="12.75">
      <c r="AH164" s="555"/>
      <c r="AI164" s="555"/>
      <c r="AQ164" s="560"/>
      <c r="AR164" s="561"/>
      <c r="AS164" s="561"/>
      <c r="BC164" s="555"/>
      <c r="BD164" s="576"/>
      <c r="BE164" s="576"/>
    </row>
    <row r="165" spans="34:57" ht="12.75">
      <c r="AH165" s="555"/>
      <c r="AI165" s="555"/>
      <c r="AQ165" s="560"/>
      <c r="AR165" s="561"/>
      <c r="AS165" s="561"/>
      <c r="BC165" s="555"/>
      <c r="BD165" s="576"/>
      <c r="BE165" s="576"/>
    </row>
    <row r="166" spans="34:45" ht="12.75">
      <c r="AH166" s="555"/>
      <c r="AI166" s="555"/>
      <c r="AQ166" s="560"/>
      <c r="AR166" s="561"/>
      <c r="AS166" s="561"/>
    </row>
    <row r="167" spans="34:45" ht="12.75">
      <c r="AH167" s="555"/>
      <c r="AI167" s="555"/>
      <c r="AQ167" s="560"/>
      <c r="AR167" s="561"/>
      <c r="AS167" s="561"/>
    </row>
    <row r="168" spans="34:45" ht="12.75">
      <c r="AH168" s="555"/>
      <c r="AI168" s="555"/>
      <c r="AQ168" s="560"/>
      <c r="AR168" s="561"/>
      <c r="AS168" s="561"/>
    </row>
    <row r="169" spans="34:45" ht="12.75">
      <c r="AH169" s="555"/>
      <c r="AI169" s="555"/>
      <c r="AQ169" s="560"/>
      <c r="AR169" s="561"/>
      <c r="AS169" s="561"/>
    </row>
    <row r="170" spans="34:45" ht="12.75">
      <c r="AH170" s="555"/>
      <c r="AI170" s="555"/>
      <c r="AQ170" s="560"/>
      <c r="AR170" s="561"/>
      <c r="AS170" s="561"/>
    </row>
    <row r="171" spans="34:45" ht="12.75">
      <c r="AH171" s="555"/>
      <c r="AI171" s="555"/>
      <c r="AQ171" s="560"/>
      <c r="AR171" s="561"/>
      <c r="AS171" s="561"/>
    </row>
    <row r="172" spans="34:45" ht="12.75">
      <c r="AH172" s="555"/>
      <c r="AI172" s="598"/>
      <c r="AQ172" s="560"/>
      <c r="AR172" s="561"/>
      <c r="AS172" s="561"/>
    </row>
    <row r="173" spans="43:45" ht="12.75">
      <c r="AQ173" s="560"/>
      <c r="AR173" s="561"/>
      <c r="AS173" s="561"/>
    </row>
    <row r="174" spans="43:45" ht="12.75">
      <c r="AQ174" s="560"/>
      <c r="AR174" s="561"/>
      <c r="AS174" s="561"/>
    </row>
    <row r="175" spans="43:45" ht="12.75">
      <c r="AQ175" s="560"/>
      <c r="AR175" s="561"/>
      <c r="AS175" s="561"/>
    </row>
    <row r="176" spans="43:45" ht="12.75">
      <c r="AQ176" s="560"/>
      <c r="AR176" s="561"/>
      <c r="AS176" s="561"/>
    </row>
    <row r="177" spans="43:45" ht="12.75">
      <c r="AQ177" s="560"/>
      <c r="AR177" s="561"/>
      <c r="AS177" s="561"/>
    </row>
    <row r="178" spans="43:45" ht="12.75">
      <c r="AQ178" s="560"/>
      <c r="AR178" s="561"/>
      <c r="AS178" s="561"/>
    </row>
    <row r="179" ht="12.75">
      <c r="AQ179" s="560"/>
    </row>
    <row r="180" ht="12.75">
      <c r="AQ180" s="539"/>
    </row>
    <row r="181" ht="12.75">
      <c r="AQ181" s="539"/>
    </row>
    <row r="182" ht="12.75">
      <c r="AQ182" s="539"/>
    </row>
    <row r="183" spans="43:45" ht="12.75">
      <c r="AQ183" s="539"/>
      <c r="AR183" s="556"/>
      <c r="AS183" s="556"/>
    </row>
    <row r="184" spans="43:45" ht="12.75">
      <c r="AQ184" s="539"/>
      <c r="AR184" s="556"/>
      <c r="AS184" s="556"/>
    </row>
    <row r="185" spans="43:45" ht="12.75">
      <c r="AQ185" s="539"/>
      <c r="AR185" s="556"/>
      <c r="AS185" s="556"/>
    </row>
    <row r="186" spans="43:45" ht="12.75">
      <c r="AQ186" s="539"/>
      <c r="AR186" s="556"/>
      <c r="AS186" s="556"/>
    </row>
    <row r="187" spans="43:45" ht="12.75">
      <c r="AQ187" s="539"/>
      <c r="AR187" s="556"/>
      <c r="AS187" s="556"/>
    </row>
    <row r="188" spans="43:45" ht="12.75">
      <c r="AQ188" s="539"/>
      <c r="AR188" s="556"/>
      <c r="AS188" s="556"/>
    </row>
    <row r="189" spans="43:45" ht="12.75">
      <c r="AQ189" s="539"/>
      <c r="AR189" s="556"/>
      <c r="AS189" s="556"/>
    </row>
    <row r="190" spans="43:45" ht="12.75">
      <c r="AQ190" s="539"/>
      <c r="AR190" s="556"/>
      <c r="AS190" s="556"/>
    </row>
    <row r="191" spans="43:45" ht="12.75">
      <c r="AQ191" s="539"/>
      <c r="AR191" s="556"/>
      <c r="AS191" s="556"/>
    </row>
    <row r="192" spans="43:45" ht="12.75">
      <c r="AQ192" s="539"/>
      <c r="AR192" s="556"/>
      <c r="AS192" s="556"/>
    </row>
    <row r="193" spans="43:45" ht="12.75">
      <c r="AQ193" s="539"/>
      <c r="AR193" s="556"/>
      <c r="AS193" s="556"/>
    </row>
    <row r="194" spans="43:45" ht="12.75">
      <c r="AQ194" s="539"/>
      <c r="AR194" s="556"/>
      <c r="AS194" s="556"/>
    </row>
    <row r="195" spans="43:45" ht="12.75">
      <c r="AQ195" s="539"/>
      <c r="AR195" s="556"/>
      <c r="AS195" s="556"/>
    </row>
    <row r="196" spans="43:45" ht="12.75">
      <c r="AQ196" s="539"/>
      <c r="AR196" s="556"/>
      <c r="AS196" s="556"/>
    </row>
    <row r="197" spans="43:45" ht="12.75">
      <c r="AQ197" s="539"/>
      <c r="AR197" s="556"/>
      <c r="AS197" s="556"/>
    </row>
    <row r="198" spans="43:45" ht="12.75">
      <c r="AQ198" s="539"/>
      <c r="AR198" s="556"/>
      <c r="AS198" s="556"/>
    </row>
    <row r="199" spans="43:45" ht="12.75">
      <c r="AQ199" s="539"/>
      <c r="AR199" s="556"/>
      <c r="AS199" s="556"/>
    </row>
    <row r="200" spans="43:45" ht="12.75">
      <c r="AQ200" s="539"/>
      <c r="AR200" s="556"/>
      <c r="AS200" s="556"/>
    </row>
    <row r="201" spans="43:45" ht="12.75">
      <c r="AQ201" s="539"/>
      <c r="AR201" s="556"/>
      <c r="AS201" s="556"/>
    </row>
    <row r="202" spans="43:45" ht="12.75">
      <c r="AQ202" s="539"/>
      <c r="AR202" s="556"/>
      <c r="AS202" s="556"/>
    </row>
    <row r="203" spans="43:45" ht="12.75">
      <c r="AQ203" s="539"/>
      <c r="AR203" s="556"/>
      <c r="AS203" s="556"/>
    </row>
    <row r="204" spans="43:45" ht="12.75">
      <c r="AQ204" s="539"/>
      <c r="AR204" s="556"/>
      <c r="AS204" s="556"/>
    </row>
    <row r="205" spans="43:45" ht="12.75">
      <c r="AQ205" s="539"/>
      <c r="AR205" s="556"/>
      <c r="AS205" s="556"/>
    </row>
    <row r="206" spans="43:45" ht="12.75">
      <c r="AQ206" s="539"/>
      <c r="AR206" s="556"/>
      <c r="AS206" s="556"/>
    </row>
    <row r="207" spans="43:45" ht="12.75">
      <c r="AQ207" s="539"/>
      <c r="AR207" s="556"/>
      <c r="AS207" s="556"/>
    </row>
    <row r="208" spans="43:45" ht="12.75">
      <c r="AQ208" s="539"/>
      <c r="AR208" s="556"/>
      <c r="AS208" s="556"/>
    </row>
    <row r="209" spans="43:45" ht="12.75">
      <c r="AQ209" s="539"/>
      <c r="AR209" s="556"/>
      <c r="AS209" s="556"/>
    </row>
    <row r="210" spans="43:45" ht="12.75">
      <c r="AQ210" s="539"/>
      <c r="AR210" s="556"/>
      <c r="AS210" s="556"/>
    </row>
    <row r="211" spans="43:45" ht="12.75">
      <c r="AQ211" s="539"/>
      <c r="AR211" s="556"/>
      <c r="AS211" s="556"/>
    </row>
    <row r="212" spans="43:45" ht="12.75">
      <c r="AQ212" s="539"/>
      <c r="AR212" s="556"/>
      <c r="AS212" s="556"/>
    </row>
    <row r="213" spans="43:45" ht="12.75">
      <c r="AQ213" s="539"/>
      <c r="AR213" s="556"/>
      <c r="AS213" s="556"/>
    </row>
    <row r="214" spans="43:45" ht="12.75">
      <c r="AQ214" s="539"/>
      <c r="AR214" s="556"/>
      <c r="AS214" s="556"/>
    </row>
    <row r="215" spans="43:45" ht="12.75">
      <c r="AQ215" s="539"/>
      <c r="AR215" s="556"/>
      <c r="AS215" s="556"/>
    </row>
    <row r="216" spans="43:45" ht="12.75">
      <c r="AQ216" s="539"/>
      <c r="AR216" s="556"/>
      <c r="AS216" s="556"/>
    </row>
    <row r="217" spans="43:45" ht="12.75">
      <c r="AQ217" s="539"/>
      <c r="AR217" s="556"/>
      <c r="AS217" s="556"/>
    </row>
    <row r="218" spans="43:45" ht="12.75">
      <c r="AQ218" s="539"/>
      <c r="AR218" s="556"/>
      <c r="AS218" s="556"/>
    </row>
    <row r="219" spans="43:45" ht="12.75">
      <c r="AQ219" s="539"/>
      <c r="AR219" s="556"/>
      <c r="AS219" s="556"/>
    </row>
    <row r="220" spans="43:45" ht="12.75">
      <c r="AQ220" s="539"/>
      <c r="AR220" s="556"/>
      <c r="AS220" s="556"/>
    </row>
    <row r="221" spans="43:45" ht="12.75">
      <c r="AQ221" s="539"/>
      <c r="AR221" s="556"/>
      <c r="AS221" s="556"/>
    </row>
    <row r="222" spans="43:45" ht="12.75">
      <c r="AQ222" s="539"/>
      <c r="AR222" s="556"/>
      <c r="AS222" s="556"/>
    </row>
    <row r="223" spans="43:45" ht="12.75">
      <c r="AQ223" s="539"/>
      <c r="AR223" s="556"/>
      <c r="AS223" s="556"/>
    </row>
    <row r="224" spans="43:45" ht="12.75">
      <c r="AQ224" s="539"/>
      <c r="AR224" s="556"/>
      <c r="AS224" s="556"/>
    </row>
    <row r="225" spans="43:45" ht="12.75">
      <c r="AQ225" s="539"/>
      <c r="AR225" s="556"/>
      <c r="AS225" s="556"/>
    </row>
    <row r="226" spans="43:45" ht="12.75">
      <c r="AQ226" s="539"/>
      <c r="AR226" s="556"/>
      <c r="AS226" s="556"/>
    </row>
    <row r="227" spans="43:45" ht="12.75">
      <c r="AQ227" s="539"/>
      <c r="AR227" s="556"/>
      <c r="AS227" s="556"/>
    </row>
    <row r="228" spans="43:45" ht="12.75">
      <c r="AQ228" s="539"/>
      <c r="AR228" s="556"/>
      <c r="AS228" s="556"/>
    </row>
    <row r="229" spans="43:45" ht="12.75">
      <c r="AQ229" s="539"/>
      <c r="AR229" s="556"/>
      <c r="AS229" s="556"/>
    </row>
    <row r="230" spans="43:45" ht="12.75">
      <c r="AQ230" s="539"/>
      <c r="AR230" s="556"/>
      <c r="AS230" s="556"/>
    </row>
    <row r="231" spans="43:45" ht="12.75">
      <c r="AQ231" s="539"/>
      <c r="AR231" s="556"/>
      <c r="AS231" s="556"/>
    </row>
    <row r="232" spans="43:45" ht="12.75">
      <c r="AQ232" s="539"/>
      <c r="AR232" s="556"/>
      <c r="AS232" s="556"/>
    </row>
    <row r="233" spans="43:45" ht="12.75">
      <c r="AQ233" s="539"/>
      <c r="AR233" s="556"/>
      <c r="AS233" s="556"/>
    </row>
    <row r="234" spans="43:45" ht="12.75">
      <c r="AQ234" s="539"/>
      <c r="AR234" s="556"/>
      <c r="AS234" s="556"/>
    </row>
    <row r="235" spans="43:45" ht="12.75">
      <c r="AQ235" s="539"/>
      <c r="AR235" s="556"/>
      <c r="AS235" s="556"/>
    </row>
    <row r="236" spans="43:45" ht="12.75">
      <c r="AQ236" s="539"/>
      <c r="AR236" s="556"/>
      <c r="AS236" s="556"/>
    </row>
    <row r="237" spans="43:45" ht="12.75">
      <c r="AQ237" s="539"/>
      <c r="AR237" s="556"/>
      <c r="AS237" s="556"/>
    </row>
    <row r="238" spans="43:45" ht="12.75">
      <c r="AQ238" s="539"/>
      <c r="AR238" s="556"/>
      <c r="AS238" s="556"/>
    </row>
    <row r="239" spans="43:45" ht="12.75">
      <c r="AQ239" s="539"/>
      <c r="AR239" s="556"/>
      <c r="AS239" s="556"/>
    </row>
    <row r="240" spans="43:45" ht="12.75">
      <c r="AQ240" s="539"/>
      <c r="AR240" s="556"/>
      <c r="AS240" s="556"/>
    </row>
    <row r="241" spans="43:45" ht="12.75">
      <c r="AQ241" s="539"/>
      <c r="AR241" s="556"/>
      <c r="AS241" s="556"/>
    </row>
    <row r="242" spans="43:45" ht="12.75">
      <c r="AQ242" s="539"/>
      <c r="AR242" s="556"/>
      <c r="AS242" s="556"/>
    </row>
    <row r="243" spans="43:45" ht="12.75">
      <c r="AQ243" s="539"/>
      <c r="AR243" s="556"/>
      <c r="AS243" s="556"/>
    </row>
    <row r="244" spans="43:45" ht="12.75">
      <c r="AQ244" s="539"/>
      <c r="AR244" s="556"/>
      <c r="AS244" s="556"/>
    </row>
    <row r="245" spans="43:45" ht="12.75">
      <c r="AQ245" s="539"/>
      <c r="AR245" s="556"/>
      <c r="AS245" s="556"/>
    </row>
    <row r="246" spans="43:45" ht="12.75">
      <c r="AQ246" s="539"/>
      <c r="AR246" s="556"/>
      <c r="AS246" s="556"/>
    </row>
    <row r="247" spans="43:45" ht="12.75">
      <c r="AQ247" s="539"/>
      <c r="AR247" s="556"/>
      <c r="AS247" s="556"/>
    </row>
    <row r="248" spans="43:45" ht="12.75">
      <c r="AQ248" s="539"/>
      <c r="AR248" s="556"/>
      <c r="AS248" s="556"/>
    </row>
    <row r="249" spans="43:45" ht="12.75">
      <c r="AQ249" s="539"/>
      <c r="AR249" s="556"/>
      <c r="AS249" s="556"/>
    </row>
    <row r="250" spans="43:45" ht="12.75">
      <c r="AQ250" s="539"/>
      <c r="AR250" s="556"/>
      <c r="AS250" s="556"/>
    </row>
    <row r="251" spans="43:45" ht="12.75">
      <c r="AQ251" s="539"/>
      <c r="AR251" s="556"/>
      <c r="AS251" s="556"/>
    </row>
    <row r="252" spans="43:45" ht="12.75">
      <c r="AQ252" s="539"/>
      <c r="AR252" s="556"/>
      <c r="AS252" s="556"/>
    </row>
    <row r="253" spans="43:45" ht="12.75">
      <c r="AQ253" s="539"/>
      <c r="AR253" s="556"/>
      <c r="AS253" s="556"/>
    </row>
    <row r="254" spans="43:45" ht="12.75">
      <c r="AQ254" s="539"/>
      <c r="AR254" s="556"/>
      <c r="AS254" s="556"/>
    </row>
    <row r="255" spans="43:45" ht="12.75">
      <c r="AQ255" s="539"/>
      <c r="AR255" s="556"/>
      <c r="AS255" s="556"/>
    </row>
    <row r="256" spans="43:45" ht="12.75">
      <c r="AQ256" s="539"/>
      <c r="AR256" s="556"/>
      <c r="AS256" s="556"/>
    </row>
    <row r="257" spans="43:45" ht="12.75">
      <c r="AQ257" s="539"/>
      <c r="AR257" s="556"/>
      <c r="AS257" s="556"/>
    </row>
    <row r="258" spans="43:45" ht="12.75">
      <c r="AQ258" s="539"/>
      <c r="AR258" s="556"/>
      <c r="AS258" s="556"/>
    </row>
    <row r="259" spans="43:45" ht="12.75">
      <c r="AQ259" s="539"/>
      <c r="AR259" s="556"/>
      <c r="AS259" s="556"/>
    </row>
    <row r="260" spans="43:45" ht="12.75">
      <c r="AQ260" s="539"/>
      <c r="AR260" s="556"/>
      <c r="AS260" s="556"/>
    </row>
    <row r="261" spans="43:45" ht="12.75">
      <c r="AQ261" s="539"/>
      <c r="AR261" s="556"/>
      <c r="AS261" s="556"/>
    </row>
    <row r="262" spans="43:45" ht="12.75">
      <c r="AQ262" s="539"/>
      <c r="AR262" s="556"/>
      <c r="AS262" s="556"/>
    </row>
    <row r="263" spans="43:45" ht="12.75">
      <c r="AQ263" s="539"/>
      <c r="AR263" s="556"/>
      <c r="AS263" s="556"/>
    </row>
    <row r="264" spans="43:45" ht="12.75">
      <c r="AQ264" s="539"/>
      <c r="AR264" s="556"/>
      <c r="AS264" s="556"/>
    </row>
    <row r="265" spans="43:45" ht="12.75">
      <c r="AQ265" s="539"/>
      <c r="AR265" s="556"/>
      <c r="AS265" s="556"/>
    </row>
    <row r="266" spans="43:45" ht="12.75">
      <c r="AQ266" s="539"/>
      <c r="AR266" s="556"/>
      <c r="AS266" s="556"/>
    </row>
    <row r="267" spans="43:45" ht="12.75">
      <c r="AQ267" s="539"/>
      <c r="AR267" s="556"/>
      <c r="AS267" s="556"/>
    </row>
    <row r="268" spans="43:45" ht="12.75">
      <c r="AQ268" s="539"/>
      <c r="AR268" s="556"/>
      <c r="AS268" s="556"/>
    </row>
    <row r="269" spans="43:45" ht="12.75">
      <c r="AQ269" s="539"/>
      <c r="AR269" s="556"/>
      <c r="AS269" s="556"/>
    </row>
    <row r="270" spans="43:45" ht="12.75">
      <c r="AQ270" s="539"/>
      <c r="AR270" s="556"/>
      <c r="AS270" s="556"/>
    </row>
    <row r="271" spans="43:45" ht="12.75">
      <c r="AQ271" s="539"/>
      <c r="AR271" s="556"/>
      <c r="AS271" s="556"/>
    </row>
    <row r="272" spans="43:45" ht="12.75">
      <c r="AQ272" s="539"/>
      <c r="AR272" s="556"/>
      <c r="AS272" s="556"/>
    </row>
    <row r="273" spans="43:45" ht="12.75">
      <c r="AQ273" s="539"/>
      <c r="AR273" s="556"/>
      <c r="AS273" s="556"/>
    </row>
    <row r="274" spans="43:45" ht="12.75">
      <c r="AQ274" s="539"/>
      <c r="AR274" s="556"/>
      <c r="AS274" s="556"/>
    </row>
    <row r="275" spans="43:45" ht="12.75">
      <c r="AQ275" s="539"/>
      <c r="AR275" s="556"/>
      <c r="AS275" s="556"/>
    </row>
    <row r="276" spans="43:45" ht="12.75">
      <c r="AQ276" s="539"/>
      <c r="AR276" s="556"/>
      <c r="AS276" s="556"/>
    </row>
    <row r="277" spans="43:45" ht="12.75">
      <c r="AQ277" s="539"/>
      <c r="AR277" s="556"/>
      <c r="AS277" s="556"/>
    </row>
    <row r="278" spans="43:45" ht="12.75">
      <c r="AQ278" s="539"/>
      <c r="AR278" s="556"/>
      <c r="AS278" s="556"/>
    </row>
    <row r="279" spans="43:45" ht="12.75">
      <c r="AQ279" s="539"/>
      <c r="AR279" s="556"/>
      <c r="AS279" s="556"/>
    </row>
    <row r="280" spans="43:45" ht="12.75">
      <c r="AQ280" s="539"/>
      <c r="AR280" s="556"/>
      <c r="AS280" s="556"/>
    </row>
    <row r="281" spans="43:45" ht="12.75">
      <c r="AQ281" s="539"/>
      <c r="AR281" s="556"/>
      <c r="AS281" s="556"/>
    </row>
    <row r="282" spans="43:45" ht="12.75">
      <c r="AQ282" s="539"/>
      <c r="AR282" s="556"/>
      <c r="AS282" s="556"/>
    </row>
    <row r="283" spans="43:45" ht="12.75">
      <c r="AQ283" s="539"/>
      <c r="AR283" s="556"/>
      <c r="AS283" s="556"/>
    </row>
    <row r="284" spans="43:45" ht="12.75">
      <c r="AQ284" s="539"/>
      <c r="AR284" s="556"/>
      <c r="AS284" s="556"/>
    </row>
    <row r="285" spans="43:45" ht="12.75">
      <c r="AQ285" s="539"/>
      <c r="AR285" s="556"/>
      <c r="AS285" s="556"/>
    </row>
    <row r="286" spans="43:45" ht="12.75">
      <c r="AQ286" s="539"/>
      <c r="AR286" s="556"/>
      <c r="AS286" s="556"/>
    </row>
    <row r="287" spans="43:45" ht="12.75">
      <c r="AQ287" s="539"/>
      <c r="AR287" s="556"/>
      <c r="AS287" s="556"/>
    </row>
    <row r="288" spans="43:45" ht="12.75">
      <c r="AQ288" s="539"/>
      <c r="AR288" s="556"/>
      <c r="AS288" s="556"/>
    </row>
    <row r="289" spans="43:45" ht="12.75">
      <c r="AQ289" s="539"/>
      <c r="AR289" s="556"/>
      <c r="AS289" s="556"/>
    </row>
    <row r="290" spans="43:45" ht="12.75">
      <c r="AQ290" s="539"/>
      <c r="AR290" s="556"/>
      <c r="AS290" s="556"/>
    </row>
    <row r="291" spans="43:45" ht="12.75">
      <c r="AQ291" s="539"/>
      <c r="AR291" s="556"/>
      <c r="AS291" s="556"/>
    </row>
    <row r="292" spans="43:45" ht="12.75">
      <c r="AQ292" s="539"/>
      <c r="AR292" s="556"/>
      <c r="AS292" s="556"/>
    </row>
    <row r="293" spans="43:45" ht="12.75">
      <c r="AQ293" s="539"/>
      <c r="AR293" s="556"/>
      <c r="AS293" s="556"/>
    </row>
    <row r="294" spans="43:45" ht="12.75">
      <c r="AQ294" s="539"/>
      <c r="AR294" s="556"/>
      <c r="AS294" s="556"/>
    </row>
    <row r="295" spans="43:45" ht="12.75">
      <c r="AQ295" s="539"/>
      <c r="AR295" s="556"/>
      <c r="AS295" s="556"/>
    </row>
    <row r="296" spans="43:45" ht="12.75">
      <c r="AQ296" s="539"/>
      <c r="AR296" s="556"/>
      <c r="AS296" s="556"/>
    </row>
    <row r="297" spans="43:45" ht="12.75">
      <c r="AQ297" s="539"/>
      <c r="AR297" s="556"/>
      <c r="AS297" s="556"/>
    </row>
    <row r="298" spans="43:45" ht="12.75">
      <c r="AQ298" s="539"/>
      <c r="AR298" s="556"/>
      <c r="AS298" s="556"/>
    </row>
    <row r="299" spans="43:45" ht="12.75">
      <c r="AQ299" s="539"/>
      <c r="AR299" s="556"/>
      <c r="AS299" s="556"/>
    </row>
    <row r="300" spans="43:45" ht="12.75">
      <c r="AQ300" s="539"/>
      <c r="AR300" s="556"/>
      <c r="AS300" s="556"/>
    </row>
    <row r="301" spans="43:45" ht="12.75">
      <c r="AQ301" s="539"/>
      <c r="AR301" s="556"/>
      <c r="AS301" s="556"/>
    </row>
    <row r="302" spans="43:45" ht="12.75">
      <c r="AQ302" s="539"/>
      <c r="AR302" s="556"/>
      <c r="AS302" s="556"/>
    </row>
    <row r="303" spans="43:45" ht="12.75">
      <c r="AQ303" s="539"/>
      <c r="AR303" s="556"/>
      <c r="AS303" s="556"/>
    </row>
    <row r="304" spans="43:45" ht="12.75">
      <c r="AQ304" s="539"/>
      <c r="AR304" s="556"/>
      <c r="AS304" s="556"/>
    </row>
    <row r="305" spans="43:45" ht="12.75">
      <c r="AQ305" s="539"/>
      <c r="AR305" s="556"/>
      <c r="AS305" s="556"/>
    </row>
    <row r="306" spans="43:45" ht="12.75">
      <c r="AQ306" s="539"/>
      <c r="AR306" s="556"/>
      <c r="AS306" s="556"/>
    </row>
    <row r="307" spans="43:45" ht="12.75">
      <c r="AQ307" s="539"/>
      <c r="AR307" s="556"/>
      <c r="AS307" s="556"/>
    </row>
    <row r="308" spans="43:45" ht="12.75">
      <c r="AQ308" s="539"/>
      <c r="AR308" s="556"/>
      <c r="AS308" s="556"/>
    </row>
    <row r="309" spans="43:45" ht="12.75">
      <c r="AQ309" s="539"/>
      <c r="AR309" s="556"/>
      <c r="AS309" s="556"/>
    </row>
    <row r="310" spans="43:45" ht="12.75">
      <c r="AQ310" s="539"/>
      <c r="AR310" s="556"/>
      <c r="AS310" s="556"/>
    </row>
    <row r="311" spans="43:45" ht="12.75">
      <c r="AQ311" s="539"/>
      <c r="AR311" s="556"/>
      <c r="AS311" s="556"/>
    </row>
    <row r="312" spans="43:45" ht="12.75">
      <c r="AQ312" s="539"/>
      <c r="AR312" s="556"/>
      <c r="AS312" s="556"/>
    </row>
    <row r="313" spans="43:45" ht="12.75">
      <c r="AQ313" s="539"/>
      <c r="AR313" s="556"/>
      <c r="AS313" s="556"/>
    </row>
    <row r="314" spans="43:45" ht="12.75">
      <c r="AQ314" s="539"/>
      <c r="AR314" s="556"/>
      <c r="AS314" s="556"/>
    </row>
    <row r="315" spans="43:45" ht="12.75">
      <c r="AQ315" s="539"/>
      <c r="AR315" s="556"/>
      <c r="AS315" s="556"/>
    </row>
    <row r="316" spans="43:45" ht="12.75">
      <c r="AQ316" s="539"/>
      <c r="AR316" s="556"/>
      <c r="AS316" s="556"/>
    </row>
    <row r="317" spans="43:45" ht="12.75">
      <c r="AQ317" s="539"/>
      <c r="AR317" s="556"/>
      <c r="AS317" s="556"/>
    </row>
    <row r="318" spans="43:45" ht="12.75">
      <c r="AQ318" s="539"/>
      <c r="AR318" s="556"/>
      <c r="AS318" s="556"/>
    </row>
    <row r="319" spans="43:45" ht="12.75">
      <c r="AQ319" s="539"/>
      <c r="AR319" s="556"/>
      <c r="AS319" s="556"/>
    </row>
    <row r="320" spans="43:45" ht="12.75">
      <c r="AQ320" s="539"/>
      <c r="AR320" s="556"/>
      <c r="AS320" s="556"/>
    </row>
    <row r="321" spans="43:45" ht="12.75">
      <c r="AQ321" s="539"/>
      <c r="AR321" s="556"/>
      <c r="AS321" s="556"/>
    </row>
    <row r="322" spans="43:45" ht="12.75">
      <c r="AQ322" s="539"/>
      <c r="AR322" s="556"/>
      <c r="AS322" s="556"/>
    </row>
    <row r="323" spans="43:45" ht="12.75">
      <c r="AQ323" s="539"/>
      <c r="AR323" s="556"/>
      <c r="AS323" s="556"/>
    </row>
    <row r="324" spans="43:45" ht="12.75">
      <c r="AQ324" s="539"/>
      <c r="AR324" s="556"/>
      <c r="AS324" s="556"/>
    </row>
    <row r="325" spans="43:45" ht="12.75">
      <c r="AQ325" s="539"/>
      <c r="AR325" s="556"/>
      <c r="AS325" s="556"/>
    </row>
    <row r="326" spans="43:45" ht="12.75">
      <c r="AQ326" s="539"/>
      <c r="AR326" s="556"/>
      <c r="AS326" s="556"/>
    </row>
    <row r="327" spans="43:45" ht="12.75">
      <c r="AQ327" s="539"/>
      <c r="AR327" s="556"/>
      <c r="AS327" s="556"/>
    </row>
    <row r="328" spans="43:45" ht="12.75">
      <c r="AQ328" s="539"/>
      <c r="AR328" s="556"/>
      <c r="AS328" s="556"/>
    </row>
    <row r="329" spans="43:45" ht="12.75">
      <c r="AQ329" s="539"/>
      <c r="AR329" s="556"/>
      <c r="AS329" s="556"/>
    </row>
    <row r="330" spans="43:45" ht="12.75">
      <c r="AQ330" s="539"/>
      <c r="AR330" s="556"/>
      <c r="AS330" s="556"/>
    </row>
    <row r="331" spans="43:45" ht="12.75">
      <c r="AQ331" s="539"/>
      <c r="AR331" s="556"/>
      <c r="AS331" s="556"/>
    </row>
    <row r="332" spans="43:45" ht="12.75">
      <c r="AQ332" s="539"/>
      <c r="AR332" s="556"/>
      <c r="AS332" s="556"/>
    </row>
    <row r="333" spans="43:45" ht="12.75">
      <c r="AQ333" s="539"/>
      <c r="AR333" s="556"/>
      <c r="AS333" s="556"/>
    </row>
    <row r="334" spans="43:45" ht="12.75">
      <c r="AQ334" s="539"/>
      <c r="AR334" s="556"/>
      <c r="AS334" s="556"/>
    </row>
    <row r="335" spans="43:45" ht="12.75">
      <c r="AQ335" s="539"/>
      <c r="AR335" s="556"/>
      <c r="AS335" s="556"/>
    </row>
    <row r="336" spans="43:45" ht="12.75">
      <c r="AQ336" s="539"/>
      <c r="AR336" s="556"/>
      <c r="AS336" s="556"/>
    </row>
    <row r="337" spans="43:45" ht="12.75">
      <c r="AQ337" s="539"/>
      <c r="AR337" s="556"/>
      <c r="AS337" s="556"/>
    </row>
    <row r="338" spans="43:45" ht="12.75">
      <c r="AQ338" s="539"/>
      <c r="AR338" s="556"/>
      <c r="AS338" s="556"/>
    </row>
    <row r="339" spans="43:45" ht="12.75">
      <c r="AQ339" s="539"/>
      <c r="AR339" s="556"/>
      <c r="AS339" s="556"/>
    </row>
    <row r="340" spans="43:45" ht="12.75">
      <c r="AQ340" s="539"/>
      <c r="AR340" s="556"/>
      <c r="AS340" s="556"/>
    </row>
    <row r="341" spans="43:45" ht="12.75">
      <c r="AQ341" s="539"/>
      <c r="AR341" s="556"/>
      <c r="AS341" s="556"/>
    </row>
    <row r="342" spans="43:45" ht="12.75">
      <c r="AQ342" s="539"/>
      <c r="AR342" s="556"/>
      <c r="AS342" s="556"/>
    </row>
    <row r="343" spans="43:45" ht="12.75">
      <c r="AQ343" s="539"/>
      <c r="AR343" s="556"/>
      <c r="AS343" s="556"/>
    </row>
    <row r="344" spans="43:45" ht="12.75">
      <c r="AQ344" s="539"/>
      <c r="AR344" s="556"/>
      <c r="AS344" s="556"/>
    </row>
    <row r="345" spans="43:45" ht="12.75">
      <c r="AQ345" s="539"/>
      <c r="AR345" s="556"/>
      <c r="AS345" s="556"/>
    </row>
    <row r="346" spans="43:45" ht="12.75">
      <c r="AQ346" s="539"/>
      <c r="AR346" s="556"/>
      <c r="AS346" s="556"/>
    </row>
    <row r="347" spans="43:45" ht="12.75">
      <c r="AQ347" s="539"/>
      <c r="AR347" s="556"/>
      <c r="AS347" s="556"/>
    </row>
    <row r="348" spans="43:45" ht="12.75">
      <c r="AQ348" s="539"/>
      <c r="AR348" s="556"/>
      <c r="AS348" s="556"/>
    </row>
    <row r="349" spans="43:45" ht="12.75">
      <c r="AQ349" s="539"/>
      <c r="AR349" s="556"/>
      <c r="AS349" s="556"/>
    </row>
    <row r="350" spans="43:45" ht="12.75">
      <c r="AQ350" s="539"/>
      <c r="AR350" s="556"/>
      <c r="AS350" s="556"/>
    </row>
    <row r="351" spans="43:45" ht="12.75">
      <c r="AQ351" s="539"/>
      <c r="AR351" s="556"/>
      <c r="AS351" s="556"/>
    </row>
    <row r="352" spans="43:45" ht="12.75">
      <c r="AQ352" s="539"/>
      <c r="AR352" s="556"/>
      <c r="AS352" s="556"/>
    </row>
    <row r="353" spans="43:45" ht="12.75">
      <c r="AQ353" s="539"/>
      <c r="AR353" s="556"/>
      <c r="AS353" s="556"/>
    </row>
    <row r="354" spans="43:45" ht="12.75">
      <c r="AQ354" s="539"/>
      <c r="AR354" s="556"/>
      <c r="AS354" s="556"/>
    </row>
    <row r="355" spans="43:45" ht="12.75">
      <c r="AQ355" s="539"/>
      <c r="AR355" s="556"/>
      <c r="AS355" s="556"/>
    </row>
    <row r="356" spans="43:45" ht="12.75">
      <c r="AQ356" s="539"/>
      <c r="AR356" s="556"/>
      <c r="AS356" s="556"/>
    </row>
    <row r="357" spans="43:45" ht="12.75">
      <c r="AQ357" s="539"/>
      <c r="AR357" s="556"/>
      <c r="AS357" s="556"/>
    </row>
    <row r="358" spans="43:45" ht="12.75">
      <c r="AQ358" s="539"/>
      <c r="AR358" s="556"/>
      <c r="AS358" s="556"/>
    </row>
    <row r="359" spans="43:45" ht="12.75">
      <c r="AQ359" s="539"/>
      <c r="AR359" s="556"/>
      <c r="AS359" s="556"/>
    </row>
    <row r="360" spans="43:45" ht="12.75">
      <c r="AQ360" s="539"/>
      <c r="AR360" s="556"/>
      <c r="AS360" s="556"/>
    </row>
    <row r="361" spans="43:45" ht="12.75">
      <c r="AQ361" s="539"/>
      <c r="AR361" s="556"/>
      <c r="AS361" s="556"/>
    </row>
    <row r="362" spans="43:45" ht="12.75">
      <c r="AQ362" s="539"/>
      <c r="AR362" s="556"/>
      <c r="AS362" s="556"/>
    </row>
    <row r="363" spans="43:45" ht="12.75">
      <c r="AQ363" s="539"/>
      <c r="AR363" s="556"/>
      <c r="AS363" s="556"/>
    </row>
    <row r="364" spans="43:45" ht="12.75">
      <c r="AQ364" s="539"/>
      <c r="AR364" s="556"/>
      <c r="AS364" s="556"/>
    </row>
    <row r="365" spans="43:45" ht="12.75">
      <c r="AQ365" s="539"/>
      <c r="AR365" s="556"/>
      <c r="AS365" s="556"/>
    </row>
    <row r="366" spans="43:45" ht="12.75">
      <c r="AQ366" s="539"/>
      <c r="AR366" s="556"/>
      <c r="AS366" s="556"/>
    </row>
    <row r="367" spans="43:45" ht="12.75">
      <c r="AQ367" s="539"/>
      <c r="AR367" s="556"/>
      <c r="AS367" s="556"/>
    </row>
    <row r="368" spans="43:45" ht="12.75">
      <c r="AQ368" s="539"/>
      <c r="AR368" s="556"/>
      <c r="AS368" s="556"/>
    </row>
    <row r="369" spans="43:45" ht="12.75">
      <c r="AQ369" s="539"/>
      <c r="AR369" s="556"/>
      <c r="AS369" s="556"/>
    </row>
    <row r="370" spans="43:45" ht="12.75">
      <c r="AQ370" s="539"/>
      <c r="AR370" s="556"/>
      <c r="AS370" s="556"/>
    </row>
    <row r="371" spans="43:45" ht="12.75">
      <c r="AQ371" s="539"/>
      <c r="AR371" s="556"/>
      <c r="AS371" s="556"/>
    </row>
    <row r="372" spans="43:45" ht="12.75">
      <c r="AQ372" s="539"/>
      <c r="AR372" s="556"/>
      <c r="AS372" s="556"/>
    </row>
    <row r="373" spans="43:45" ht="12.75">
      <c r="AQ373" s="539"/>
      <c r="AR373" s="556"/>
      <c r="AS373" s="556"/>
    </row>
    <row r="374" spans="43:45" ht="12.75">
      <c r="AQ374" s="539"/>
      <c r="AR374" s="556"/>
      <c r="AS374" s="556"/>
    </row>
    <row r="375" spans="43:45" ht="12.75">
      <c r="AQ375" s="539"/>
      <c r="AR375" s="556"/>
      <c r="AS375" s="556"/>
    </row>
    <row r="376" spans="43:45" ht="12.75">
      <c r="AQ376" s="539"/>
      <c r="AR376" s="556"/>
      <c r="AS376" s="556"/>
    </row>
    <row r="377" spans="43:45" ht="12.75">
      <c r="AQ377" s="539"/>
      <c r="AR377" s="556"/>
      <c r="AS377" s="556"/>
    </row>
    <row r="378" spans="43:45" ht="12.75">
      <c r="AQ378" s="539"/>
      <c r="AR378" s="556"/>
      <c r="AS378" s="556"/>
    </row>
    <row r="379" spans="43:45" ht="12.75">
      <c r="AQ379" s="539"/>
      <c r="AR379" s="556"/>
      <c r="AS379" s="556"/>
    </row>
    <row r="380" spans="43:45" ht="12.75">
      <c r="AQ380" s="539"/>
      <c r="AR380" s="556"/>
      <c r="AS380" s="556"/>
    </row>
    <row r="381" spans="43:45" ht="12.75">
      <c r="AQ381" s="539"/>
      <c r="AR381" s="556"/>
      <c r="AS381" s="556"/>
    </row>
    <row r="382" spans="43:45" ht="12.75">
      <c r="AQ382" s="539"/>
      <c r="AR382" s="556"/>
      <c r="AS382" s="556"/>
    </row>
    <row r="383" spans="43:45" ht="12.75">
      <c r="AQ383" s="539"/>
      <c r="AR383" s="556"/>
      <c r="AS383" s="556"/>
    </row>
    <row r="384" spans="43:45" ht="12.75">
      <c r="AQ384" s="539"/>
      <c r="AR384" s="556"/>
      <c r="AS384" s="556"/>
    </row>
    <row r="385" spans="43:45" ht="12.75">
      <c r="AQ385" s="539"/>
      <c r="AR385" s="556"/>
      <c r="AS385" s="556"/>
    </row>
    <row r="386" spans="43:45" ht="12.75">
      <c r="AQ386" s="539"/>
      <c r="AR386" s="556"/>
      <c r="AS386" s="556"/>
    </row>
    <row r="387" spans="43:45" ht="12.75">
      <c r="AQ387" s="539"/>
      <c r="AR387" s="556"/>
      <c r="AS387" s="556"/>
    </row>
    <row r="388" spans="43:45" ht="12.75">
      <c r="AQ388" s="539"/>
      <c r="AR388" s="556"/>
      <c r="AS388" s="556"/>
    </row>
    <row r="389" spans="43:45" ht="12.75">
      <c r="AQ389" s="539"/>
      <c r="AR389" s="556"/>
      <c r="AS389" s="556"/>
    </row>
    <row r="390" spans="43:45" ht="12.75">
      <c r="AQ390" s="539"/>
      <c r="AR390" s="556"/>
      <c r="AS390" s="556"/>
    </row>
    <row r="391" spans="43:45" ht="12.75">
      <c r="AQ391" s="539"/>
      <c r="AR391" s="556"/>
      <c r="AS391" s="556"/>
    </row>
    <row r="392" spans="43:45" ht="12.75">
      <c r="AQ392" s="539"/>
      <c r="AR392" s="556"/>
      <c r="AS392" s="556"/>
    </row>
    <row r="393" spans="43:45" ht="12.75">
      <c r="AQ393" s="539"/>
      <c r="AR393" s="556"/>
      <c r="AS393" s="556"/>
    </row>
    <row r="394" spans="43:45" ht="12.75">
      <c r="AQ394" s="539"/>
      <c r="AR394" s="556"/>
      <c r="AS394" s="556"/>
    </row>
    <row r="395" spans="43:45" ht="12.75">
      <c r="AQ395" s="539"/>
      <c r="AR395" s="556"/>
      <c r="AS395" s="556"/>
    </row>
    <row r="396" spans="43:45" ht="12.75">
      <c r="AQ396" s="539"/>
      <c r="AR396" s="556"/>
      <c r="AS396" s="556"/>
    </row>
    <row r="397" spans="43:45" ht="12.75">
      <c r="AQ397" s="539"/>
      <c r="AR397" s="556"/>
      <c r="AS397" s="556"/>
    </row>
    <row r="398" spans="43:45" ht="12.75">
      <c r="AQ398" s="539"/>
      <c r="AR398" s="556"/>
      <c r="AS398" s="556"/>
    </row>
    <row r="399" spans="43:45" ht="12.75">
      <c r="AQ399" s="539"/>
      <c r="AR399" s="556"/>
      <c r="AS399" s="556"/>
    </row>
    <row r="400" spans="43:45" ht="12.75">
      <c r="AQ400" s="539"/>
      <c r="AR400" s="556"/>
      <c r="AS400" s="556"/>
    </row>
    <row r="401" spans="43:45" ht="12.75">
      <c r="AQ401" s="539"/>
      <c r="AR401" s="556"/>
      <c r="AS401" s="556"/>
    </row>
    <row r="402" spans="43:45" ht="12.75">
      <c r="AQ402" s="539"/>
      <c r="AR402" s="556"/>
      <c r="AS402" s="556"/>
    </row>
    <row r="403" spans="43:45" ht="12.75">
      <c r="AQ403" s="539"/>
      <c r="AR403" s="556"/>
      <c r="AS403" s="556"/>
    </row>
    <row r="404" spans="43:45" ht="12.75">
      <c r="AQ404" s="539"/>
      <c r="AR404" s="556"/>
      <c r="AS404" s="556"/>
    </row>
    <row r="405" spans="43:45" ht="12.75">
      <c r="AQ405" s="539"/>
      <c r="AR405" s="556"/>
      <c r="AS405" s="556"/>
    </row>
    <row r="406" spans="43:45" ht="12.75">
      <c r="AQ406" s="539"/>
      <c r="AR406" s="556"/>
      <c r="AS406" s="556"/>
    </row>
    <row r="407" spans="43:45" ht="12.75">
      <c r="AQ407" s="539"/>
      <c r="AR407" s="556"/>
      <c r="AS407" s="556"/>
    </row>
    <row r="408" spans="43:45" ht="12.75">
      <c r="AQ408" s="539"/>
      <c r="AR408" s="556"/>
      <c r="AS408" s="556"/>
    </row>
    <row r="409" spans="43:45" ht="12.75">
      <c r="AQ409" s="539"/>
      <c r="AR409" s="556"/>
      <c r="AS409" s="556"/>
    </row>
    <row r="410" spans="43:45" ht="12.75">
      <c r="AQ410" s="539"/>
      <c r="AR410" s="556"/>
      <c r="AS410" s="556"/>
    </row>
    <row r="411" spans="43:45" ht="12.75">
      <c r="AQ411" s="539"/>
      <c r="AR411" s="556"/>
      <c r="AS411" s="556"/>
    </row>
    <row r="412" spans="43:45" ht="12.75">
      <c r="AQ412" s="539"/>
      <c r="AR412" s="556"/>
      <c r="AS412" s="556"/>
    </row>
    <row r="413" spans="43:45" ht="12.75">
      <c r="AQ413" s="539"/>
      <c r="AR413" s="556"/>
      <c r="AS413" s="556"/>
    </row>
    <row r="414" spans="43:45" ht="12.75">
      <c r="AQ414" s="539"/>
      <c r="AR414" s="556"/>
      <c r="AS414" s="556"/>
    </row>
    <row r="415" spans="43:45" ht="12.75">
      <c r="AQ415" s="539"/>
      <c r="AR415" s="556"/>
      <c r="AS415" s="556"/>
    </row>
    <row r="416" spans="43:45" ht="12.75">
      <c r="AQ416" s="539"/>
      <c r="AR416" s="556"/>
      <c r="AS416" s="556"/>
    </row>
    <row r="417" spans="43:45" ht="12.75">
      <c r="AQ417" s="539"/>
      <c r="AR417" s="556"/>
      <c r="AS417" s="556"/>
    </row>
    <row r="418" spans="43:45" ht="12.75">
      <c r="AQ418" s="539"/>
      <c r="AR418" s="556"/>
      <c r="AS418" s="556"/>
    </row>
    <row r="419" spans="43:45" ht="12.75">
      <c r="AQ419" s="539"/>
      <c r="AR419" s="556"/>
      <c r="AS419" s="556"/>
    </row>
    <row r="420" spans="43:45" ht="12.75">
      <c r="AQ420" s="539"/>
      <c r="AR420" s="556"/>
      <c r="AS420" s="556"/>
    </row>
    <row r="421" spans="43:45" ht="12.75">
      <c r="AQ421" s="539"/>
      <c r="AR421" s="556"/>
      <c r="AS421" s="556"/>
    </row>
    <row r="422" spans="43:45" ht="12.75">
      <c r="AQ422" s="539"/>
      <c r="AR422" s="556"/>
      <c r="AS422" s="556"/>
    </row>
    <row r="423" spans="43:45" ht="12.75">
      <c r="AQ423" s="539"/>
      <c r="AR423" s="556"/>
      <c r="AS423" s="556"/>
    </row>
    <row r="424" spans="43:45" ht="12.75">
      <c r="AQ424" s="539"/>
      <c r="AR424" s="556"/>
      <c r="AS424" s="556"/>
    </row>
    <row r="425" spans="43:45" ht="12.75">
      <c r="AQ425" s="539"/>
      <c r="AR425" s="556"/>
      <c r="AS425" s="556"/>
    </row>
    <row r="426" spans="43:45" ht="12.75">
      <c r="AQ426" s="539"/>
      <c r="AR426" s="556"/>
      <c r="AS426" s="556"/>
    </row>
    <row r="427" spans="43:45" ht="12.75">
      <c r="AQ427" s="539"/>
      <c r="AR427" s="556"/>
      <c r="AS427" s="556"/>
    </row>
    <row r="428" spans="43:45" ht="12.75">
      <c r="AQ428" s="539"/>
      <c r="AR428" s="556"/>
      <c r="AS428" s="556"/>
    </row>
    <row r="429" spans="43:45" ht="12.75">
      <c r="AQ429" s="539"/>
      <c r="AR429" s="556"/>
      <c r="AS429" s="556"/>
    </row>
    <row r="430" spans="43:45" ht="12.75">
      <c r="AQ430" s="539"/>
      <c r="AR430" s="556"/>
      <c r="AS430" s="556"/>
    </row>
    <row r="431" spans="43:45" ht="12.75">
      <c r="AQ431" s="539"/>
      <c r="AR431" s="556"/>
      <c r="AS431" s="556"/>
    </row>
    <row r="432" spans="43:45" ht="12.75">
      <c r="AQ432" s="539"/>
      <c r="AR432" s="556"/>
      <c r="AS432" s="556"/>
    </row>
    <row r="433" spans="43:45" ht="12.75">
      <c r="AQ433" s="539"/>
      <c r="AR433" s="556"/>
      <c r="AS433" s="556"/>
    </row>
    <row r="434" spans="43:45" ht="12.75">
      <c r="AQ434" s="539"/>
      <c r="AR434" s="556"/>
      <c r="AS434" s="556"/>
    </row>
    <row r="435" spans="43:45" ht="12.75">
      <c r="AQ435" s="539"/>
      <c r="AR435" s="556"/>
      <c r="AS435" s="556"/>
    </row>
    <row r="436" spans="43:45" ht="12.75">
      <c r="AQ436" s="539"/>
      <c r="AR436" s="556"/>
      <c r="AS436" s="556"/>
    </row>
    <row r="437" spans="43:45" ht="12.75">
      <c r="AQ437" s="539"/>
      <c r="AR437" s="556"/>
      <c r="AS437" s="556"/>
    </row>
    <row r="438" spans="43:45" ht="12.75">
      <c r="AQ438" s="539"/>
      <c r="AR438" s="556"/>
      <c r="AS438" s="556"/>
    </row>
    <row r="439" spans="43:45" ht="12.75">
      <c r="AQ439" s="539"/>
      <c r="AR439" s="556"/>
      <c r="AS439" s="556"/>
    </row>
    <row r="440" spans="43:45" ht="12.75">
      <c r="AQ440" s="539"/>
      <c r="AR440" s="556"/>
      <c r="AS440" s="556"/>
    </row>
    <row r="441" spans="43:45" ht="12.75">
      <c r="AQ441" s="539"/>
      <c r="AR441" s="556"/>
      <c r="AS441" s="556"/>
    </row>
    <row r="442" spans="43:45" ht="12.75">
      <c r="AQ442" s="539"/>
      <c r="AR442" s="556"/>
      <c r="AS442" s="556"/>
    </row>
    <row r="443" spans="43:45" ht="12.75">
      <c r="AQ443" s="539"/>
      <c r="AR443" s="556"/>
      <c r="AS443" s="556"/>
    </row>
    <row r="444" spans="43:45" ht="12.75">
      <c r="AQ444" s="539"/>
      <c r="AR444" s="556"/>
      <c r="AS444" s="556"/>
    </row>
    <row r="445" spans="43:45" ht="12.75">
      <c r="AQ445" s="539"/>
      <c r="AR445" s="556"/>
      <c r="AS445" s="556"/>
    </row>
    <row r="446" spans="43:45" ht="12.75">
      <c r="AQ446" s="539"/>
      <c r="AR446" s="556"/>
      <c r="AS446" s="556"/>
    </row>
    <row r="447" spans="43:45" ht="12.75">
      <c r="AQ447" s="539"/>
      <c r="AR447" s="556"/>
      <c r="AS447" s="556"/>
    </row>
    <row r="448" spans="43:45" ht="12.75">
      <c r="AQ448" s="539"/>
      <c r="AR448" s="556"/>
      <c r="AS448" s="556"/>
    </row>
    <row r="449" spans="43:45" ht="12.75">
      <c r="AQ449" s="539"/>
      <c r="AR449" s="556"/>
      <c r="AS449" s="556"/>
    </row>
    <row r="450" spans="43:45" ht="12.75">
      <c r="AQ450" s="539"/>
      <c r="AR450" s="556"/>
      <c r="AS450" s="556"/>
    </row>
    <row r="451" spans="43:45" ht="12.75">
      <c r="AQ451" s="539"/>
      <c r="AR451" s="556"/>
      <c r="AS451" s="556"/>
    </row>
    <row r="452" spans="43:45" ht="12.75">
      <c r="AQ452" s="539"/>
      <c r="AR452" s="556"/>
      <c r="AS452" s="556"/>
    </row>
    <row r="453" spans="43:45" ht="12.75">
      <c r="AQ453" s="539"/>
      <c r="AR453" s="556"/>
      <c r="AS453" s="556"/>
    </row>
    <row r="454" spans="43:45" ht="12.75">
      <c r="AQ454" s="539"/>
      <c r="AR454" s="556"/>
      <c r="AS454" s="556"/>
    </row>
    <row r="455" spans="43:45" ht="12.75">
      <c r="AQ455" s="539"/>
      <c r="AR455" s="556"/>
      <c r="AS455" s="556"/>
    </row>
    <row r="456" spans="43:45" ht="12.75">
      <c r="AQ456" s="539"/>
      <c r="AR456" s="556"/>
      <c r="AS456" s="556"/>
    </row>
    <row r="457" spans="43:45" ht="12.75">
      <c r="AQ457" s="539"/>
      <c r="AR457" s="556"/>
      <c r="AS457" s="556"/>
    </row>
    <row r="458" spans="43:45" ht="12.75">
      <c r="AQ458" s="539"/>
      <c r="AR458" s="556"/>
      <c r="AS458" s="556"/>
    </row>
    <row r="459" spans="43:45" ht="12.75">
      <c r="AQ459" s="539"/>
      <c r="AR459" s="556"/>
      <c r="AS459" s="556"/>
    </row>
    <row r="460" spans="43:45" ht="12.75">
      <c r="AQ460" s="539"/>
      <c r="AR460" s="556"/>
      <c r="AS460" s="556"/>
    </row>
    <row r="461" spans="43:45" ht="12.75">
      <c r="AQ461" s="539"/>
      <c r="AR461" s="556"/>
      <c r="AS461" s="556"/>
    </row>
    <row r="462" spans="43:45" ht="12.75">
      <c r="AQ462" s="539"/>
      <c r="AR462" s="556"/>
      <c r="AS462" s="556"/>
    </row>
    <row r="463" spans="43:45" ht="12.75">
      <c r="AQ463" s="539"/>
      <c r="AR463" s="556"/>
      <c r="AS463" s="556"/>
    </row>
    <row r="464" spans="43:45" ht="12.75">
      <c r="AQ464" s="539"/>
      <c r="AR464" s="556"/>
      <c r="AS464" s="556"/>
    </row>
    <row r="465" spans="43:45" ht="12.75">
      <c r="AQ465" s="539"/>
      <c r="AR465" s="556"/>
      <c r="AS465" s="556"/>
    </row>
    <row r="466" spans="43:45" ht="12.75">
      <c r="AQ466" s="539"/>
      <c r="AR466" s="556"/>
      <c r="AS466" s="556"/>
    </row>
    <row r="467" spans="43:45" ht="12.75">
      <c r="AQ467" s="539"/>
      <c r="AR467" s="556"/>
      <c r="AS467" s="556"/>
    </row>
    <row r="468" spans="43:45" ht="12.75">
      <c r="AQ468" s="539"/>
      <c r="AR468" s="556"/>
      <c r="AS468" s="556"/>
    </row>
    <row r="469" spans="43:45" ht="12.75">
      <c r="AQ469" s="539"/>
      <c r="AR469" s="556"/>
      <c r="AS469" s="556"/>
    </row>
    <row r="470" spans="43:45" ht="12.75">
      <c r="AQ470" s="539"/>
      <c r="AR470" s="556"/>
      <c r="AS470" s="556"/>
    </row>
    <row r="471" spans="43:45" ht="12.75">
      <c r="AQ471" s="539"/>
      <c r="AR471" s="556"/>
      <c r="AS471" s="556"/>
    </row>
    <row r="472" spans="43:45" ht="12.75">
      <c r="AQ472" s="539"/>
      <c r="AR472" s="556"/>
      <c r="AS472" s="556"/>
    </row>
    <row r="473" spans="43:45" ht="12.75">
      <c r="AQ473" s="539"/>
      <c r="AR473" s="556"/>
      <c r="AS473" s="556"/>
    </row>
    <row r="474" spans="43:45" ht="12.75">
      <c r="AQ474" s="539"/>
      <c r="AR474" s="556"/>
      <c r="AS474" s="556"/>
    </row>
    <row r="475" spans="43:45" ht="12.75">
      <c r="AQ475" s="539"/>
      <c r="AR475" s="556"/>
      <c r="AS475" s="556"/>
    </row>
    <row r="476" spans="43:45" ht="12.75">
      <c r="AQ476" s="539"/>
      <c r="AR476" s="556"/>
      <c r="AS476" s="556"/>
    </row>
    <row r="477" spans="43:45" ht="12.75">
      <c r="AQ477" s="539"/>
      <c r="AR477" s="556"/>
      <c r="AS477" s="556"/>
    </row>
    <row r="478" spans="43:45" ht="12.75">
      <c r="AQ478" s="539"/>
      <c r="AR478" s="556"/>
      <c r="AS478" s="556"/>
    </row>
    <row r="479" spans="43:45" ht="12.75">
      <c r="AQ479" s="539"/>
      <c r="AR479" s="556"/>
      <c r="AS479" s="556"/>
    </row>
    <row r="480" spans="43:45" ht="12.75">
      <c r="AQ480" s="539"/>
      <c r="AR480" s="556"/>
      <c r="AS480" s="556"/>
    </row>
    <row r="481" spans="43:45" ht="12.75">
      <c r="AQ481" s="539"/>
      <c r="AR481" s="556"/>
      <c r="AS481" s="556"/>
    </row>
    <row r="482" spans="43:45" ht="12.75">
      <c r="AQ482" s="539"/>
      <c r="AR482" s="556"/>
      <c r="AS482" s="556"/>
    </row>
    <row r="483" spans="43:45" ht="12.75">
      <c r="AQ483" s="539"/>
      <c r="AR483" s="556"/>
      <c r="AS483" s="556"/>
    </row>
    <row r="484" spans="43:45" ht="12.75">
      <c r="AQ484" s="539"/>
      <c r="AR484" s="556"/>
      <c r="AS484" s="556"/>
    </row>
    <row r="485" spans="43:45" ht="12.75">
      <c r="AQ485" s="539"/>
      <c r="AR485" s="556"/>
      <c r="AS485" s="556"/>
    </row>
    <row r="486" spans="43:45" ht="12.75">
      <c r="AQ486" s="539"/>
      <c r="AR486" s="556"/>
      <c r="AS486" s="556"/>
    </row>
    <row r="487" spans="43:45" ht="12.75">
      <c r="AQ487" s="539"/>
      <c r="AR487" s="556"/>
      <c r="AS487" s="556"/>
    </row>
    <row r="488" spans="43:45" ht="12.75">
      <c r="AQ488" s="539"/>
      <c r="AR488" s="556"/>
      <c r="AS488" s="556"/>
    </row>
    <row r="489" spans="43:45" ht="12.75">
      <c r="AQ489" s="539"/>
      <c r="AR489" s="556"/>
      <c r="AS489" s="556"/>
    </row>
    <row r="490" spans="43:45" ht="12.75">
      <c r="AQ490" s="539"/>
      <c r="AR490" s="556"/>
      <c r="AS490" s="556"/>
    </row>
    <row r="491" spans="43:45" ht="12.75">
      <c r="AQ491" s="539"/>
      <c r="AR491" s="556"/>
      <c r="AS491" s="556"/>
    </row>
    <row r="492" spans="43:45" ht="12.75">
      <c r="AQ492" s="539"/>
      <c r="AR492" s="556"/>
      <c r="AS492" s="556"/>
    </row>
    <row r="493" spans="43:45" ht="12.75">
      <c r="AQ493" s="539"/>
      <c r="AR493" s="556"/>
      <c r="AS493" s="556"/>
    </row>
    <row r="494" spans="43:45" ht="12.75">
      <c r="AQ494" s="539"/>
      <c r="AR494" s="556"/>
      <c r="AS494" s="556"/>
    </row>
    <row r="495" spans="43:45" ht="12.75">
      <c r="AQ495" s="539"/>
      <c r="AR495" s="556"/>
      <c r="AS495" s="556"/>
    </row>
    <row r="496" spans="43:45" ht="12.75">
      <c r="AQ496" s="539"/>
      <c r="AR496" s="556"/>
      <c r="AS496" s="556"/>
    </row>
    <row r="497" spans="43:45" ht="12.75">
      <c r="AQ497" s="539"/>
      <c r="AR497" s="556"/>
      <c r="AS497" s="556"/>
    </row>
    <row r="498" spans="43:45" ht="12.75">
      <c r="AQ498" s="539"/>
      <c r="AR498" s="556"/>
      <c r="AS498" s="556"/>
    </row>
    <row r="499" spans="43:45" ht="12.75">
      <c r="AQ499" s="539"/>
      <c r="AR499" s="556"/>
      <c r="AS499" s="556"/>
    </row>
    <row r="500" spans="43:45" ht="12.75">
      <c r="AQ500" s="539"/>
      <c r="AR500" s="556"/>
      <c r="AS500" s="556"/>
    </row>
    <row r="501" spans="43:45" ht="12.75">
      <c r="AQ501" s="539"/>
      <c r="AR501" s="556"/>
      <c r="AS501" s="556"/>
    </row>
    <row r="502" spans="43:45" ht="12.75">
      <c r="AQ502" s="539"/>
      <c r="AR502" s="556"/>
      <c r="AS502" s="556"/>
    </row>
    <row r="503" spans="43:45" ht="12.75">
      <c r="AQ503" s="539"/>
      <c r="AR503" s="556"/>
      <c r="AS503" s="556"/>
    </row>
    <row r="504" spans="43:45" ht="12.75">
      <c r="AQ504" s="539"/>
      <c r="AR504" s="556"/>
      <c r="AS504" s="556"/>
    </row>
    <row r="505" spans="43:45" ht="12.75">
      <c r="AQ505" s="539"/>
      <c r="AR505" s="556"/>
      <c r="AS505" s="556"/>
    </row>
    <row r="506" spans="43:45" ht="12.75">
      <c r="AQ506" s="539"/>
      <c r="AR506" s="556"/>
      <c r="AS506" s="556"/>
    </row>
    <row r="507" spans="43:45" ht="12.75">
      <c r="AQ507" s="539"/>
      <c r="AR507" s="556"/>
      <c r="AS507" s="556"/>
    </row>
    <row r="508" spans="43:45" ht="12.75">
      <c r="AQ508" s="539"/>
      <c r="AR508" s="556"/>
      <c r="AS508" s="556"/>
    </row>
    <row r="509" spans="43:45" ht="12.75">
      <c r="AQ509" s="539"/>
      <c r="AR509" s="556"/>
      <c r="AS509" s="556"/>
    </row>
    <row r="510" spans="43:45" ht="12.75">
      <c r="AQ510" s="539"/>
      <c r="AR510" s="556"/>
      <c r="AS510" s="556"/>
    </row>
    <row r="511" spans="43:45" ht="12.75">
      <c r="AQ511" s="539"/>
      <c r="AR511" s="556"/>
      <c r="AS511" s="556"/>
    </row>
    <row r="512" spans="43:45" ht="12.75">
      <c r="AQ512" s="539"/>
      <c r="AR512" s="556"/>
      <c r="AS512" s="556"/>
    </row>
    <row r="513" spans="43:45" ht="12.75">
      <c r="AQ513" s="539"/>
      <c r="AR513" s="556"/>
      <c r="AS513" s="556"/>
    </row>
    <row r="514" spans="43:45" ht="12.75">
      <c r="AQ514" s="539"/>
      <c r="AR514" s="556"/>
      <c r="AS514" s="556"/>
    </row>
    <row r="515" spans="43:45" ht="12.75">
      <c r="AQ515" s="539"/>
      <c r="AR515" s="556"/>
      <c r="AS515" s="556"/>
    </row>
    <row r="516" spans="43:45" ht="12.75">
      <c r="AQ516" s="539"/>
      <c r="AR516" s="556"/>
      <c r="AS516" s="556"/>
    </row>
    <row r="517" spans="43:45" ht="12.75">
      <c r="AQ517" s="539"/>
      <c r="AR517" s="556"/>
      <c r="AS517" s="556"/>
    </row>
    <row r="518" spans="43:45" ht="12.75">
      <c r="AQ518" s="539"/>
      <c r="AR518" s="556"/>
      <c r="AS518" s="556"/>
    </row>
    <row r="519" spans="43:45" ht="12.75">
      <c r="AQ519" s="539"/>
      <c r="AR519" s="556"/>
      <c r="AS519" s="556"/>
    </row>
    <row r="520" spans="43:45" ht="12.75">
      <c r="AQ520" s="539"/>
      <c r="AR520" s="556"/>
      <c r="AS520" s="556"/>
    </row>
    <row r="521" spans="43:45" ht="12.75">
      <c r="AQ521" s="539"/>
      <c r="AR521" s="556"/>
      <c r="AS521" s="556"/>
    </row>
    <row r="522" spans="43:45" ht="12.75">
      <c r="AQ522" s="539"/>
      <c r="AR522" s="556"/>
      <c r="AS522" s="556"/>
    </row>
    <row r="523" spans="43:45" ht="12.75">
      <c r="AQ523" s="539"/>
      <c r="AR523" s="556"/>
      <c r="AS523" s="556"/>
    </row>
    <row r="524" spans="43:45" ht="12.75">
      <c r="AQ524" s="539"/>
      <c r="AR524" s="556"/>
      <c r="AS524" s="556"/>
    </row>
    <row r="525" spans="43:45" ht="12.75">
      <c r="AQ525" s="539"/>
      <c r="AR525" s="556"/>
      <c r="AS525" s="556"/>
    </row>
    <row r="526" spans="43:45" ht="12.75">
      <c r="AQ526" s="539"/>
      <c r="AR526" s="556"/>
      <c r="AS526" s="556"/>
    </row>
    <row r="527" spans="43:45" ht="12.75">
      <c r="AQ527" s="539"/>
      <c r="AR527" s="556"/>
      <c r="AS527" s="556"/>
    </row>
    <row r="528" spans="43:45" ht="12.75">
      <c r="AQ528" s="539"/>
      <c r="AR528" s="556"/>
      <c r="AS528" s="556"/>
    </row>
    <row r="529" spans="43:45" ht="12.75">
      <c r="AQ529" s="539"/>
      <c r="AR529" s="556"/>
      <c r="AS529" s="556"/>
    </row>
    <row r="530" spans="43:45" ht="12.75">
      <c r="AQ530" s="539"/>
      <c r="AR530" s="556"/>
      <c r="AS530" s="556"/>
    </row>
    <row r="531" spans="43:45" ht="12.75">
      <c r="AQ531" s="539"/>
      <c r="AR531" s="556"/>
      <c r="AS531" s="556"/>
    </row>
    <row r="532" spans="43:45" ht="12.75">
      <c r="AQ532" s="539"/>
      <c r="AR532" s="556"/>
      <c r="AS532" s="556"/>
    </row>
    <row r="533" spans="43:45" ht="12.75">
      <c r="AQ533" s="539"/>
      <c r="AR533" s="556"/>
      <c r="AS533" s="556"/>
    </row>
    <row r="534" spans="43:45" ht="12.75">
      <c r="AQ534" s="539"/>
      <c r="AR534" s="556"/>
      <c r="AS534" s="556"/>
    </row>
    <row r="535" spans="43:45" ht="12.75">
      <c r="AQ535" s="539"/>
      <c r="AR535" s="556"/>
      <c r="AS535" s="556"/>
    </row>
    <row r="536" spans="43:45" ht="12.75">
      <c r="AQ536" s="539"/>
      <c r="AR536" s="556"/>
      <c r="AS536" s="556"/>
    </row>
    <row r="537" spans="43:45" ht="12.75">
      <c r="AQ537" s="539"/>
      <c r="AR537" s="556"/>
      <c r="AS537" s="556"/>
    </row>
    <row r="538" spans="43:45" ht="12.75">
      <c r="AQ538" s="539"/>
      <c r="AR538" s="556"/>
      <c r="AS538" s="556"/>
    </row>
    <row r="539" spans="43:45" ht="12.75">
      <c r="AQ539" s="539"/>
      <c r="AR539" s="556"/>
      <c r="AS539" s="556"/>
    </row>
    <row r="540" spans="43:45" ht="12.75">
      <c r="AQ540" s="539"/>
      <c r="AR540" s="556"/>
      <c r="AS540" s="556"/>
    </row>
    <row r="541" spans="43:45" ht="12.75">
      <c r="AQ541" s="539"/>
      <c r="AR541" s="556"/>
      <c r="AS541" s="556"/>
    </row>
    <row r="542" spans="43:45" ht="12.75">
      <c r="AQ542" s="539"/>
      <c r="AR542" s="556"/>
      <c r="AS542" s="556"/>
    </row>
    <row r="543" spans="43:45" ht="12.75">
      <c r="AQ543" s="539"/>
      <c r="AR543" s="556"/>
      <c r="AS543" s="556"/>
    </row>
    <row r="544" spans="43:45" ht="12.75">
      <c r="AQ544" s="539"/>
      <c r="AR544" s="556"/>
      <c r="AS544" s="556"/>
    </row>
    <row r="545" spans="43:45" ht="12.75">
      <c r="AQ545" s="539"/>
      <c r="AR545" s="556"/>
      <c r="AS545" s="556"/>
    </row>
    <row r="546" spans="43:45" ht="12.75">
      <c r="AQ546" s="539"/>
      <c r="AR546" s="556"/>
      <c r="AS546" s="556"/>
    </row>
    <row r="547" spans="43:45" ht="12.75">
      <c r="AQ547" s="539"/>
      <c r="AR547" s="556"/>
      <c r="AS547" s="556"/>
    </row>
    <row r="548" spans="43:45" ht="12.75">
      <c r="AQ548" s="539"/>
      <c r="AR548" s="556"/>
      <c r="AS548" s="556"/>
    </row>
    <row r="549" spans="43:45" ht="12.75">
      <c r="AQ549" s="539"/>
      <c r="AR549" s="556"/>
      <c r="AS549" s="556"/>
    </row>
    <row r="550" spans="43:45" ht="12.75">
      <c r="AQ550" s="539"/>
      <c r="AR550" s="556"/>
      <c r="AS550" s="556"/>
    </row>
    <row r="551" spans="43:45" ht="12.75">
      <c r="AQ551" s="539"/>
      <c r="AR551" s="556"/>
      <c r="AS551" s="556"/>
    </row>
    <row r="552" spans="43:45" ht="12.75">
      <c r="AQ552" s="539"/>
      <c r="AR552" s="556"/>
      <c r="AS552" s="556"/>
    </row>
    <row r="553" spans="43:45" ht="12.75">
      <c r="AQ553" s="539"/>
      <c r="AR553" s="556"/>
      <c r="AS553" s="556"/>
    </row>
    <row r="554" spans="43:45" ht="12.75">
      <c r="AQ554" s="539"/>
      <c r="AR554" s="556"/>
      <c r="AS554" s="556"/>
    </row>
    <row r="555" spans="43:45" ht="12.75">
      <c r="AQ555" s="539"/>
      <c r="AR555" s="556"/>
      <c r="AS555" s="556"/>
    </row>
    <row r="556" spans="43:45" ht="12.75">
      <c r="AQ556" s="539"/>
      <c r="AR556" s="556"/>
      <c r="AS556" s="556"/>
    </row>
    <row r="557" spans="43:45" ht="12.75">
      <c r="AQ557" s="539"/>
      <c r="AR557" s="556"/>
      <c r="AS557" s="556"/>
    </row>
    <row r="558" spans="43:45" ht="12.75">
      <c r="AQ558" s="539"/>
      <c r="AR558" s="556"/>
      <c r="AS558" s="556"/>
    </row>
    <row r="559" spans="43:45" ht="12.75">
      <c r="AQ559" s="539"/>
      <c r="AR559" s="556"/>
      <c r="AS559" s="556"/>
    </row>
    <row r="560" spans="43:45" ht="12.75">
      <c r="AQ560" s="539"/>
      <c r="AR560" s="556"/>
      <c r="AS560" s="556"/>
    </row>
    <row r="561" spans="43:45" ht="12.75">
      <c r="AQ561" s="539"/>
      <c r="AR561" s="556"/>
      <c r="AS561" s="556"/>
    </row>
    <row r="562" spans="43:45" ht="12.75">
      <c r="AQ562" s="539"/>
      <c r="AR562" s="556"/>
      <c r="AS562" s="556"/>
    </row>
    <row r="563" spans="43:45" ht="12.75">
      <c r="AQ563" s="539"/>
      <c r="AR563" s="556"/>
      <c r="AS563" s="556"/>
    </row>
    <row r="564" spans="43:45" ht="12.75">
      <c r="AQ564" s="539"/>
      <c r="AR564" s="556"/>
      <c r="AS564" s="556"/>
    </row>
    <row r="565" spans="43:45" ht="12.75">
      <c r="AQ565" s="539"/>
      <c r="AR565" s="556"/>
      <c r="AS565" s="556"/>
    </row>
    <row r="566" spans="43:45" ht="12.75">
      <c r="AQ566" s="539"/>
      <c r="AR566" s="556"/>
      <c r="AS566" s="556"/>
    </row>
    <row r="567" spans="43:45" ht="12.75">
      <c r="AQ567" s="539"/>
      <c r="AR567" s="556"/>
      <c r="AS567" s="556"/>
    </row>
    <row r="568" spans="43:45" ht="12.75">
      <c r="AQ568" s="539"/>
      <c r="AR568" s="556"/>
      <c r="AS568" s="556"/>
    </row>
    <row r="569" spans="43:45" ht="12.75">
      <c r="AQ569" s="539"/>
      <c r="AR569" s="556"/>
      <c r="AS569" s="556"/>
    </row>
    <row r="570" spans="43:45" ht="12.75">
      <c r="AQ570" s="539"/>
      <c r="AR570" s="556"/>
      <c r="AS570" s="556"/>
    </row>
    <row r="571" spans="43:45" ht="12.75">
      <c r="AQ571" s="539"/>
      <c r="AR571" s="556"/>
      <c r="AS571" s="556"/>
    </row>
    <row r="572" spans="43:45" ht="12.75">
      <c r="AQ572" s="539"/>
      <c r="AR572" s="556"/>
      <c r="AS572" s="556"/>
    </row>
    <row r="573" spans="43:45" ht="12.75">
      <c r="AQ573" s="539"/>
      <c r="AR573" s="556"/>
      <c r="AS573" s="556"/>
    </row>
    <row r="574" spans="43:45" ht="12.75">
      <c r="AQ574" s="539"/>
      <c r="AR574" s="556"/>
      <c r="AS574" s="556"/>
    </row>
    <row r="575" spans="43:45" ht="12.75">
      <c r="AQ575" s="539"/>
      <c r="AR575" s="556"/>
      <c r="AS575" s="556"/>
    </row>
    <row r="576" spans="43:45" ht="12.75">
      <c r="AQ576" s="539"/>
      <c r="AR576" s="556"/>
      <c r="AS576" s="556"/>
    </row>
    <row r="577" spans="43:45" ht="12.75">
      <c r="AQ577" s="539"/>
      <c r="AR577" s="556"/>
      <c r="AS577" s="556"/>
    </row>
    <row r="578" spans="43:45" ht="12.75">
      <c r="AQ578" s="539"/>
      <c r="AR578" s="556"/>
      <c r="AS578" s="556"/>
    </row>
    <row r="579" spans="43:45" ht="12.75">
      <c r="AQ579" s="539"/>
      <c r="AR579" s="556"/>
      <c r="AS579" s="556"/>
    </row>
    <row r="580" spans="43:45" ht="12.75">
      <c r="AQ580" s="539"/>
      <c r="AR580" s="556"/>
      <c r="AS580" s="556"/>
    </row>
    <row r="581" spans="43:45" ht="12.75">
      <c r="AQ581" s="539"/>
      <c r="AR581" s="556"/>
      <c r="AS581" s="556"/>
    </row>
    <row r="582" spans="43:45" ht="12.75">
      <c r="AQ582" s="539"/>
      <c r="AR582" s="556"/>
      <c r="AS582" s="556"/>
    </row>
    <row r="583" spans="43:45" ht="12.75">
      <c r="AQ583" s="539"/>
      <c r="AR583" s="556"/>
      <c r="AS583" s="556"/>
    </row>
    <row r="584" spans="43:45" ht="12.75">
      <c r="AQ584" s="539"/>
      <c r="AR584" s="556"/>
      <c r="AS584" s="556"/>
    </row>
    <row r="585" spans="43:45" ht="12.75">
      <c r="AQ585" s="539"/>
      <c r="AR585" s="556"/>
      <c r="AS585" s="556"/>
    </row>
    <row r="586" spans="43:45" ht="12.75">
      <c r="AQ586" s="539"/>
      <c r="AR586" s="556"/>
      <c r="AS586" s="556"/>
    </row>
    <row r="587" spans="43:45" ht="12.75">
      <c r="AQ587" s="539"/>
      <c r="AR587" s="556"/>
      <c r="AS587" s="556"/>
    </row>
    <row r="588" spans="43:45" ht="12.75">
      <c r="AQ588" s="539"/>
      <c r="AR588" s="556"/>
      <c r="AS588" s="556"/>
    </row>
    <row r="589" spans="43:45" ht="12.75">
      <c r="AQ589" s="539"/>
      <c r="AR589" s="556"/>
      <c r="AS589" s="556"/>
    </row>
    <row r="590" spans="43:45" ht="12.75">
      <c r="AQ590" s="539"/>
      <c r="AR590" s="556"/>
      <c r="AS590" s="556"/>
    </row>
    <row r="591" spans="43:45" ht="12.75">
      <c r="AQ591" s="539"/>
      <c r="AR591" s="556"/>
      <c r="AS591" s="556"/>
    </row>
    <row r="592" spans="43:45" ht="12.75">
      <c r="AQ592" s="539"/>
      <c r="AR592" s="556"/>
      <c r="AS592" s="556"/>
    </row>
    <row r="593" spans="43:45" ht="12.75">
      <c r="AQ593" s="539"/>
      <c r="AR593" s="556"/>
      <c r="AS593" s="556"/>
    </row>
    <row r="594" spans="43:45" ht="12.75">
      <c r="AQ594" s="539"/>
      <c r="AR594" s="556"/>
      <c r="AS594" s="556"/>
    </row>
    <row r="595" spans="43:45" ht="12.75">
      <c r="AQ595" s="539"/>
      <c r="AR595" s="556"/>
      <c r="AS595" s="556"/>
    </row>
    <row r="596" spans="43:45" ht="12.75">
      <c r="AQ596" s="539"/>
      <c r="AR596" s="556"/>
      <c r="AS596" s="556"/>
    </row>
    <row r="597" spans="43:45" ht="12.75">
      <c r="AQ597" s="539"/>
      <c r="AR597" s="556"/>
      <c r="AS597" s="556"/>
    </row>
    <row r="598" spans="43:45" ht="12.75">
      <c r="AQ598" s="539"/>
      <c r="AR598" s="556"/>
      <c r="AS598" s="556"/>
    </row>
    <row r="599" spans="43:45" ht="12.75">
      <c r="AQ599" s="539"/>
      <c r="AR599" s="556"/>
      <c r="AS599" s="556"/>
    </row>
    <row r="600" spans="43:45" ht="12.75">
      <c r="AQ600" s="539"/>
      <c r="AR600" s="556"/>
      <c r="AS600" s="556"/>
    </row>
    <row r="601" spans="43:45" ht="12.75">
      <c r="AQ601" s="539"/>
      <c r="AR601" s="556"/>
      <c r="AS601" s="556"/>
    </row>
    <row r="602" spans="43:45" ht="12.75">
      <c r="AQ602" s="539"/>
      <c r="AR602" s="556"/>
      <c r="AS602" s="556"/>
    </row>
    <row r="603" spans="43:45" ht="12.75">
      <c r="AQ603" s="539"/>
      <c r="AR603" s="556"/>
      <c r="AS603" s="556"/>
    </row>
    <row r="604" spans="43:45" ht="12.75">
      <c r="AQ604" s="539"/>
      <c r="AR604" s="556"/>
      <c r="AS604" s="556"/>
    </row>
    <row r="605" spans="43:45" ht="12.75">
      <c r="AQ605" s="554"/>
      <c r="AR605" s="557"/>
      <c r="AS605" s="557"/>
    </row>
  </sheetData>
  <sheetProtection/>
  <mergeCells count="3">
    <mergeCell ref="BN6:BO6"/>
    <mergeCell ref="BN7:BO7"/>
    <mergeCell ref="BN8:BO8"/>
  </mergeCells>
  <printOptions gridLines="1"/>
  <pageMargins left="0.7" right="0.2" top="0" bottom="0.2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E4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9.8515625" style="0" bestFit="1" customWidth="1"/>
    <col min="2" max="2" width="4.140625" style="0" customWidth="1"/>
    <col min="3" max="3" width="15.00390625" style="563" bestFit="1" customWidth="1"/>
    <col min="4" max="4" width="15.57421875" style="563" customWidth="1"/>
  </cols>
  <sheetData>
    <row r="2" ht="12.75">
      <c r="A2" s="574" t="s">
        <v>588</v>
      </c>
    </row>
    <row r="3" ht="12.75">
      <c r="A3" s="574"/>
    </row>
    <row r="4" ht="12.75">
      <c r="A4" s="574" t="s">
        <v>618</v>
      </c>
    </row>
    <row r="5" ht="12.75">
      <c r="A5" s="574"/>
    </row>
    <row r="6" spans="1:4" ht="12">
      <c r="A6" s="540" t="s">
        <v>719</v>
      </c>
      <c r="C6" s="563">
        <v>139101147</v>
      </c>
      <c r="D6" s="648"/>
    </row>
    <row r="7" spans="1:3" ht="12">
      <c r="A7" s="619" t="s">
        <v>710</v>
      </c>
      <c r="C7" s="563">
        <v>1740043</v>
      </c>
    </row>
    <row r="8" ht="12.75">
      <c r="A8" s="658" t="s">
        <v>711</v>
      </c>
    </row>
    <row r="9" spans="1:5" ht="12">
      <c r="A9" s="540" t="s">
        <v>714</v>
      </c>
      <c r="C9" s="563">
        <v>2140404</v>
      </c>
      <c r="E9" s="540"/>
    </row>
    <row r="10" spans="1:5" ht="12">
      <c r="A10" s="540" t="s">
        <v>715</v>
      </c>
      <c r="C10" s="563">
        <v>854715</v>
      </c>
      <c r="E10" s="540"/>
    </row>
    <row r="11" spans="1:5" ht="12">
      <c r="A11" s="619" t="s">
        <v>712</v>
      </c>
      <c r="C11" s="563">
        <v>2032250</v>
      </c>
      <c r="E11" s="540"/>
    </row>
    <row r="12" spans="1:5" ht="12">
      <c r="A12" s="619" t="s">
        <v>716</v>
      </c>
      <c r="C12" s="563">
        <v>1652099</v>
      </c>
      <c r="E12" s="540"/>
    </row>
    <row r="13" spans="1:5" ht="12">
      <c r="A13" s="540" t="s">
        <v>717</v>
      </c>
      <c r="C13" s="563">
        <v>372660</v>
      </c>
      <c r="E13" s="540"/>
    </row>
    <row r="14" spans="1:5" ht="12">
      <c r="A14" s="668" t="s">
        <v>713</v>
      </c>
      <c r="B14" s="773"/>
      <c r="C14" s="780">
        <v>89372</v>
      </c>
      <c r="E14" s="540"/>
    </row>
    <row r="15" ht="12">
      <c r="A15" s="540"/>
    </row>
    <row r="16" spans="1:3" ht="12.75">
      <c r="A16" s="540" t="s">
        <v>718</v>
      </c>
      <c r="C16" s="659">
        <f>+C6+C7-C9-C10-C11-C12-C13-C14-C15</f>
        <v>133699690</v>
      </c>
    </row>
    <row r="17" ht="12">
      <c r="E17" s="541"/>
    </row>
    <row r="18" ht="12">
      <c r="D18" s="648"/>
    </row>
    <row r="19" spans="1:3" ht="12">
      <c r="A19" s="540" t="s">
        <v>803</v>
      </c>
      <c r="C19" s="563">
        <v>133699689</v>
      </c>
    </row>
    <row r="20" spans="1:3" ht="13.5" thickBot="1">
      <c r="A20" s="650" t="s">
        <v>724</v>
      </c>
      <c r="B20" s="650"/>
      <c r="C20" s="649">
        <f>+C16-C19</f>
        <v>1</v>
      </c>
    </row>
    <row r="21" ht="12.75" thickTop="1"/>
    <row r="23" ht="12">
      <c r="C23" s="648"/>
    </row>
    <row r="26" ht="12">
      <c r="A26" s="540"/>
    </row>
    <row r="28" ht="12">
      <c r="A28" s="540"/>
    </row>
    <row r="29" ht="12">
      <c r="A29" s="567"/>
    </row>
    <row r="30" ht="12">
      <c r="A30" s="567"/>
    </row>
    <row r="32" ht="12">
      <c r="A32" s="540"/>
    </row>
    <row r="35" ht="12">
      <c r="A35" s="540"/>
    </row>
    <row r="36" ht="12">
      <c r="A36" s="540"/>
    </row>
    <row r="40" ht="12">
      <c r="A40" s="540"/>
    </row>
    <row r="41" ht="12">
      <c r="A41" s="540"/>
    </row>
    <row r="42" ht="12">
      <c r="A42" s="540"/>
    </row>
    <row r="43" ht="12">
      <c r="A43" s="540"/>
    </row>
    <row r="44" ht="12">
      <c r="A44" s="5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9"/>
  <sheetViews>
    <sheetView zoomScalePageLayoutView="0" workbookViewId="0" topLeftCell="A38">
      <selection activeCell="D19" sqref="D19"/>
    </sheetView>
  </sheetViews>
  <sheetFormatPr defaultColWidth="9.7109375" defaultRowHeight="12.75"/>
  <cols>
    <col min="1" max="1" width="4.7109375" style="22" customWidth="1"/>
    <col min="2" max="2" width="14.2812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75"/>
      <c r="L1" s="75"/>
      <c r="M1" s="75"/>
      <c r="N1" s="75"/>
      <c r="O1" s="75"/>
    </row>
    <row r="2" spans="1:15" s="18" customFormat="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75"/>
      <c r="L2" s="75"/>
      <c r="M2" s="75"/>
      <c r="N2" s="75"/>
      <c r="O2" s="75"/>
    </row>
    <row r="3" spans="1:15" s="18" customFormat="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75"/>
      <c r="L3" s="75"/>
      <c r="M3" s="75"/>
      <c r="N3" s="75"/>
      <c r="O3" s="75"/>
    </row>
    <row r="4" spans="1:15" s="18" customFormat="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884">
        <f>'P1 Info &amp; Certification'!L20</f>
        <v>43647</v>
      </c>
      <c r="F6" s="884"/>
      <c r="G6" s="96"/>
      <c r="H6" s="95" t="s">
        <v>7</v>
      </c>
      <c r="I6" s="884">
        <f>'P1 Info &amp; Certification'!N20</f>
        <v>44012</v>
      </c>
      <c r="J6" s="902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1.75" customHeight="1" thickBot="1">
      <c r="A8" s="97"/>
      <c r="B8" s="445" t="s">
        <v>59</v>
      </c>
      <c r="C8" s="885" t="str">
        <f>'P1 Info &amp; Certification'!E12</f>
        <v>COMMUNITY HEALTH CENTER, INC.</v>
      </c>
      <c r="D8" s="885"/>
      <c r="E8" s="885"/>
      <c r="F8" s="885"/>
      <c r="G8" s="885"/>
      <c r="H8" s="88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5.75" thickBot="1">
      <c r="A10" s="16"/>
      <c r="B10" s="19"/>
      <c r="C10" s="19"/>
      <c r="D10" s="19"/>
      <c r="E10" s="20"/>
      <c r="F10" s="19"/>
      <c r="G10" s="21"/>
      <c r="H10" s="19"/>
      <c r="I10" s="19"/>
      <c r="J10" s="112" t="s">
        <v>219</v>
      </c>
    </row>
    <row r="11" spans="1:10" s="18" customFormat="1" ht="19.5" customHeight="1">
      <c r="A11" s="917" t="s">
        <v>290</v>
      </c>
      <c r="B11" s="918"/>
      <c r="C11" s="918"/>
      <c r="D11" s="918"/>
      <c r="E11" s="918"/>
      <c r="F11" s="918"/>
      <c r="G11" s="918"/>
      <c r="H11" s="918"/>
      <c r="I11" s="918"/>
      <c r="J11" s="919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907" t="s">
        <v>74</v>
      </c>
      <c r="B14" s="908"/>
      <c r="C14" s="909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 thickBot="1">
      <c r="A15" s="910"/>
      <c r="B15" s="911"/>
      <c r="C15" s="912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8.75" customHeight="1">
      <c r="A16" s="213" t="s">
        <v>83</v>
      </c>
      <c r="B16" s="916" t="s">
        <v>251</v>
      </c>
      <c r="C16" s="916"/>
      <c r="D16" s="3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4"/>
      <c r="B17" s="915" t="s">
        <v>85</v>
      </c>
      <c r="C17" s="915"/>
      <c r="D17" s="8"/>
      <c r="E17" s="9"/>
      <c r="F17" s="8"/>
      <c r="G17" s="8"/>
      <c r="H17" s="8"/>
      <c r="I17" s="8"/>
      <c r="J17" s="215"/>
    </row>
    <row r="18" spans="1:10" ht="12" customHeight="1">
      <c r="A18" s="216" t="s">
        <v>49</v>
      </c>
      <c r="B18" s="905" t="s">
        <v>67</v>
      </c>
      <c r="C18" s="906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903" t="s">
        <v>23</v>
      </c>
      <c r="C19" s="904"/>
      <c r="D19" s="34">
        <f>+'Attachment A'!AM5</f>
        <v>7625790.157564886</v>
      </c>
      <c r="E19" s="34">
        <f>+'Attachment A'!AN5</f>
        <v>1506169.81</v>
      </c>
      <c r="F19" s="325">
        <f>SUM(D19:E19)</f>
        <v>9131959.967564886</v>
      </c>
      <c r="G19" s="322"/>
      <c r="H19" s="36">
        <f aca="true" t="shared" si="0" ref="H19:H34">F19+G19</f>
        <v>9131959.967564886</v>
      </c>
      <c r="I19" s="37"/>
      <c r="J19" s="219">
        <f aca="true" t="shared" si="1" ref="J19:J34">H19+I19</f>
        <v>9131959.967564886</v>
      </c>
    </row>
    <row r="20" spans="1:10" ht="12.75">
      <c r="A20" s="220" t="s">
        <v>71</v>
      </c>
      <c r="B20" s="900" t="s">
        <v>68</v>
      </c>
      <c r="C20" s="901"/>
      <c r="D20" s="38">
        <f>+'Attachment A'!AM6</f>
        <v>1436046.491827288</v>
      </c>
      <c r="E20" s="38">
        <f>+'Attachment A'!AN6</f>
        <v>283633.54</v>
      </c>
      <c r="F20" s="40">
        <f aca="true" t="shared" si="2" ref="F20:F34">SUM(D20:E20)</f>
        <v>1719680.031827288</v>
      </c>
      <c r="G20" s="139"/>
      <c r="H20" s="36">
        <f t="shared" si="0"/>
        <v>1719680.031827288</v>
      </c>
      <c r="I20" s="39"/>
      <c r="J20" s="221">
        <f t="shared" si="1"/>
        <v>1719680.031827288</v>
      </c>
    </row>
    <row r="21" spans="1:10" ht="12.75">
      <c r="A21" s="220" t="s">
        <v>72</v>
      </c>
      <c r="B21" s="900" t="s">
        <v>288</v>
      </c>
      <c r="C21" s="901"/>
      <c r="D21" s="38">
        <f>+'Attachment A'!AM7</f>
        <v>13690085.762383014</v>
      </c>
      <c r="E21" s="38">
        <f>+'Attachment A'!AN7</f>
        <v>2703928.84</v>
      </c>
      <c r="F21" s="40">
        <f>SUM(D21:E21)</f>
        <v>16394014.602383014</v>
      </c>
      <c r="G21" s="139"/>
      <c r="H21" s="36">
        <f t="shared" si="0"/>
        <v>16394014.602383014</v>
      </c>
      <c r="I21" s="39"/>
      <c r="J21" s="221">
        <f t="shared" si="1"/>
        <v>16394014.602383014</v>
      </c>
    </row>
    <row r="22" spans="1:10" ht="12.75">
      <c r="A22" s="220" t="s">
        <v>73</v>
      </c>
      <c r="B22" s="900" t="s">
        <v>69</v>
      </c>
      <c r="C22" s="901"/>
      <c r="D22" s="38"/>
      <c r="E22" s="38"/>
      <c r="F22" s="40"/>
      <c r="G22" s="139"/>
      <c r="H22" s="36"/>
      <c r="I22" s="39"/>
      <c r="J22" s="221"/>
    </row>
    <row r="23" spans="1:10" ht="12.75">
      <c r="A23" s="220"/>
      <c r="B23" s="137"/>
      <c r="C23" s="460" t="s">
        <v>446</v>
      </c>
      <c r="D23" s="38">
        <f>+'Attachment A'!AR37</f>
        <v>12602640.691134885</v>
      </c>
      <c r="E23" s="38">
        <f>+'Attachment A'!AS37</f>
        <v>2489147.5860595736</v>
      </c>
      <c r="F23" s="40">
        <f t="shared" si="2"/>
        <v>15091788.277194459</v>
      </c>
      <c r="G23" s="139"/>
      <c r="H23" s="36">
        <f t="shared" si="0"/>
        <v>15091788.277194459</v>
      </c>
      <c r="I23" s="39"/>
      <c r="J23" s="221">
        <f t="shared" si="1"/>
        <v>15091788.277194459</v>
      </c>
    </row>
    <row r="24" spans="1:10" ht="12.75">
      <c r="A24" s="220"/>
      <c r="B24" s="26"/>
      <c r="C24" s="461" t="s">
        <v>684</v>
      </c>
      <c r="D24" s="38"/>
      <c r="E24" s="38">
        <f>+'Attachment A'!G44</f>
        <v>3251086.82</v>
      </c>
      <c r="F24" s="40">
        <f t="shared" si="2"/>
        <v>3251086.82</v>
      </c>
      <c r="G24" s="139"/>
      <c r="H24" s="36">
        <f t="shared" si="0"/>
        <v>3251086.82</v>
      </c>
      <c r="I24" s="39"/>
      <c r="J24" s="221">
        <f t="shared" si="1"/>
        <v>3251086.82</v>
      </c>
    </row>
    <row r="25" spans="1:10" ht="12.75">
      <c r="A25" s="220"/>
      <c r="B25" s="137"/>
      <c r="C25" s="462"/>
      <c r="D25" s="38"/>
      <c r="E25" s="38"/>
      <c r="F25" s="40">
        <f t="shared" si="2"/>
        <v>0</v>
      </c>
      <c r="G25" s="139"/>
      <c r="H25" s="36">
        <f t="shared" si="0"/>
        <v>0</v>
      </c>
      <c r="I25" s="39"/>
      <c r="J25" s="221">
        <f t="shared" si="1"/>
        <v>0</v>
      </c>
    </row>
    <row r="26" spans="1:10" ht="12.75">
      <c r="A26" s="220"/>
      <c r="B26" s="137"/>
      <c r="C26" s="460"/>
      <c r="D26" s="38"/>
      <c r="E26" s="38"/>
      <c r="F26" s="40">
        <f t="shared" si="2"/>
        <v>0</v>
      </c>
      <c r="G26" s="139"/>
      <c r="H26" s="36">
        <f t="shared" si="0"/>
        <v>0</v>
      </c>
      <c r="I26" s="39"/>
      <c r="J26" s="221">
        <f t="shared" si="1"/>
        <v>0</v>
      </c>
    </row>
    <row r="27" spans="1:10" ht="12.75">
      <c r="A27" s="220"/>
      <c r="B27" s="137"/>
      <c r="C27" s="462"/>
      <c r="D27" s="38"/>
      <c r="E27" s="38"/>
      <c r="F27" s="40">
        <f t="shared" si="2"/>
        <v>0</v>
      </c>
      <c r="G27" s="139"/>
      <c r="H27" s="36">
        <f t="shared" si="0"/>
        <v>0</v>
      </c>
      <c r="I27" s="39"/>
      <c r="J27" s="221">
        <f t="shared" si="1"/>
        <v>0</v>
      </c>
    </row>
    <row r="28" spans="1:10" ht="12.75">
      <c r="A28" s="220"/>
      <c r="B28" s="137"/>
      <c r="C28" s="462"/>
      <c r="D28" s="38"/>
      <c r="E28" s="38"/>
      <c r="F28" s="40">
        <f t="shared" si="2"/>
        <v>0</v>
      </c>
      <c r="G28" s="139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139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139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2"/>
      <c r="D31" s="38"/>
      <c r="E31" s="38"/>
      <c r="F31" s="40">
        <f t="shared" si="2"/>
        <v>0</v>
      </c>
      <c r="G31" s="139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139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139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460"/>
      <c r="D34" s="104"/>
      <c r="E34" s="321"/>
      <c r="F34" s="326">
        <f t="shared" si="2"/>
        <v>0</v>
      </c>
      <c r="G34" s="323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80</v>
      </c>
      <c r="B35" s="913" t="s">
        <v>99</v>
      </c>
      <c r="C35" s="914"/>
      <c r="D35" s="129">
        <f>SUM(D19:D34)</f>
        <v>35354563.10291007</v>
      </c>
      <c r="E35" s="129">
        <f aca="true" t="shared" si="3" ref="E35:J35">SUM(E19:E34)</f>
        <v>10233966.596059574</v>
      </c>
      <c r="F35" s="324">
        <f t="shared" si="3"/>
        <v>45588529.69896965</v>
      </c>
      <c r="G35" s="129">
        <f t="shared" si="3"/>
        <v>0</v>
      </c>
      <c r="H35" s="129">
        <f t="shared" si="3"/>
        <v>45588529.69896965</v>
      </c>
      <c r="I35" s="129">
        <f t="shared" si="3"/>
        <v>0</v>
      </c>
      <c r="J35" s="225">
        <f t="shared" si="3"/>
        <v>45588529.69896965</v>
      </c>
    </row>
    <row r="36" spans="1:10" ht="12" customHeight="1">
      <c r="A36" s="226" t="s">
        <v>50</v>
      </c>
      <c r="B36" s="7" t="s">
        <v>214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1" t="s">
        <v>76</v>
      </c>
      <c r="C37" s="446"/>
      <c r="D37" s="138"/>
      <c r="E37" s="29">
        <f>+'Attachment A'!C7</f>
        <v>8913972.689999998</v>
      </c>
      <c r="F37" s="325">
        <f>SUM(D37:E37)</f>
        <v>8913972.689999998</v>
      </c>
      <c r="G37" s="29"/>
      <c r="H37" s="28">
        <f aca="true" t="shared" si="4" ref="H37:H49">F37+G37</f>
        <v>8913972.689999998</v>
      </c>
      <c r="I37" s="29"/>
      <c r="J37" s="227">
        <f aca="true" t="shared" si="5" ref="J37:J49">H37+I37</f>
        <v>8913972.689999998</v>
      </c>
    </row>
    <row r="38" spans="1:10" ht="12.75">
      <c r="A38" s="220" t="s">
        <v>71</v>
      </c>
      <c r="B38" s="441" t="s">
        <v>77</v>
      </c>
      <c r="C38" s="446"/>
      <c r="D38" s="29"/>
      <c r="E38" s="29">
        <f>+'Attachment A'!C8</f>
        <v>181677.34</v>
      </c>
      <c r="F38" s="40">
        <f aca="true" t="shared" si="6" ref="F38:F48">SUM(D38:E38)</f>
        <v>181677.34</v>
      </c>
      <c r="G38" s="29">
        <f>-'Attachment A'!AC76</f>
        <v>0</v>
      </c>
      <c r="H38" s="28">
        <f t="shared" si="4"/>
        <v>181677.34</v>
      </c>
      <c r="I38" s="29"/>
      <c r="J38" s="227">
        <f t="shared" si="5"/>
        <v>181677.34</v>
      </c>
    </row>
    <row r="39" spans="1:10" ht="12.75">
      <c r="A39" s="220" t="s">
        <v>72</v>
      </c>
      <c r="B39" s="23" t="s">
        <v>78</v>
      </c>
      <c r="C39" s="23"/>
      <c r="D39" s="29"/>
      <c r="E39" s="29">
        <f>+'Attachment A'!C9</f>
        <v>1710844.61</v>
      </c>
      <c r="F39" s="40">
        <f t="shared" si="6"/>
        <v>1710844.61</v>
      </c>
      <c r="G39" s="29">
        <f>-'Attachment A'!AD76</f>
        <v>0</v>
      </c>
      <c r="H39" s="28">
        <f t="shared" si="4"/>
        <v>1710844.61</v>
      </c>
      <c r="I39" s="29"/>
      <c r="J39" s="227">
        <f t="shared" si="5"/>
        <v>1710844.61</v>
      </c>
    </row>
    <row r="40" spans="1:10" ht="12.75">
      <c r="A40" s="220" t="s">
        <v>73</v>
      </c>
      <c r="B40" s="23" t="s">
        <v>79</v>
      </c>
      <c r="C40" s="23"/>
      <c r="D40" s="29"/>
      <c r="E40" s="29">
        <f>+'Attachment A'!C10</f>
        <v>82382</v>
      </c>
      <c r="F40" s="40">
        <f t="shared" si="6"/>
        <v>82382</v>
      </c>
      <c r="G40" s="29"/>
      <c r="H40" s="28">
        <f t="shared" si="4"/>
        <v>82382</v>
      </c>
      <c r="I40" s="29"/>
      <c r="J40" s="227">
        <f t="shared" si="5"/>
        <v>82382</v>
      </c>
    </row>
    <row r="41" spans="1:10" ht="12.75">
      <c r="A41" s="220" t="s">
        <v>80</v>
      </c>
      <c r="B41" s="900" t="s">
        <v>328</v>
      </c>
      <c r="C41" s="901"/>
      <c r="D41" s="29"/>
      <c r="E41" s="29"/>
      <c r="F41" s="40">
        <f t="shared" si="6"/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ht="12.75">
      <c r="A42" s="220" t="s">
        <v>81</v>
      </c>
      <c r="B42" s="900" t="s">
        <v>217</v>
      </c>
      <c r="C42" s="901"/>
      <c r="D42" s="29"/>
      <c r="E42" s="29"/>
      <c r="F42" s="40">
        <f t="shared" si="6"/>
        <v>0</v>
      </c>
      <c r="G42" s="29"/>
      <c r="H42" s="28">
        <f t="shared" si="4"/>
        <v>0</v>
      </c>
      <c r="I42" s="29"/>
      <c r="J42" s="227">
        <f t="shared" si="5"/>
        <v>0</v>
      </c>
    </row>
    <row r="43" spans="1:10" ht="12.75">
      <c r="A43" s="220" t="s">
        <v>112</v>
      </c>
      <c r="B43" s="441" t="s">
        <v>329</v>
      </c>
      <c r="C43" s="442"/>
      <c r="D43" s="29"/>
      <c r="E43" s="29"/>
      <c r="F43" s="40">
        <f t="shared" si="6"/>
        <v>0</v>
      </c>
      <c r="G43" s="29"/>
      <c r="H43" s="28">
        <f t="shared" si="4"/>
        <v>0</v>
      </c>
      <c r="I43" s="29"/>
      <c r="J43" s="227">
        <f t="shared" si="5"/>
        <v>0</v>
      </c>
    </row>
    <row r="44" spans="1:10" ht="12.75">
      <c r="A44" s="220" t="s">
        <v>114</v>
      </c>
      <c r="B44" s="900" t="s">
        <v>69</v>
      </c>
      <c r="C44" s="901"/>
      <c r="D44" s="29"/>
      <c r="E44" s="29"/>
      <c r="F44" s="40"/>
      <c r="G44" s="29"/>
      <c r="H44" s="28"/>
      <c r="I44" s="29"/>
      <c r="J44" s="227"/>
    </row>
    <row r="45" spans="1:10" ht="12.75">
      <c r="A45" s="220"/>
      <c r="B45" s="137"/>
      <c r="C45" s="460" t="s">
        <v>446</v>
      </c>
      <c r="D45" s="29"/>
      <c r="E45" s="29">
        <f>+'Attachment A'!G39</f>
        <v>10072751.458643401</v>
      </c>
      <c r="F45" s="40">
        <f t="shared" si="6"/>
        <v>10072751.458643401</v>
      </c>
      <c r="G45" s="29">
        <f>-'Attachment A'!AE76</f>
        <v>0</v>
      </c>
      <c r="H45" s="28">
        <f t="shared" si="4"/>
        <v>10072751.458643401</v>
      </c>
      <c r="I45" s="29"/>
      <c r="J45" s="227">
        <f t="shared" si="5"/>
        <v>10072751.458643401</v>
      </c>
    </row>
    <row r="46" spans="1:10" ht="12.75">
      <c r="A46" s="220"/>
      <c r="B46" s="26"/>
      <c r="C46" s="461" t="s">
        <v>677</v>
      </c>
      <c r="D46" s="29"/>
      <c r="E46" s="29">
        <f>+'Attachment A'!AC28</f>
        <v>166824.35749999998</v>
      </c>
      <c r="F46" s="40">
        <f t="shared" si="6"/>
        <v>166824.35749999998</v>
      </c>
      <c r="G46" s="29"/>
      <c r="H46" s="28">
        <f t="shared" si="4"/>
        <v>166824.35749999998</v>
      </c>
      <c r="I46" s="29"/>
      <c r="J46" s="227">
        <f t="shared" si="5"/>
        <v>166824.35749999998</v>
      </c>
    </row>
    <row r="47" spans="1:10" ht="12.75">
      <c r="A47" s="223"/>
      <c r="B47" s="137"/>
      <c r="C47" s="462"/>
      <c r="D47" s="29"/>
      <c r="E47" s="29"/>
      <c r="F47" s="40">
        <f t="shared" si="6"/>
        <v>0</v>
      </c>
      <c r="G47" s="29"/>
      <c r="H47" s="28">
        <f t="shared" si="4"/>
        <v>0</v>
      </c>
      <c r="I47" s="29"/>
      <c r="J47" s="227">
        <f t="shared" si="5"/>
        <v>0</v>
      </c>
    </row>
    <row r="48" spans="1:10" ht="12.75">
      <c r="A48" s="223"/>
      <c r="B48" s="137"/>
      <c r="C48" s="462"/>
      <c r="D48" s="29"/>
      <c r="E48" s="29"/>
      <c r="F48" s="40">
        <f t="shared" si="6"/>
        <v>0</v>
      </c>
      <c r="G48" s="29"/>
      <c r="H48" s="28">
        <f t="shared" si="4"/>
        <v>0</v>
      </c>
      <c r="I48" s="29"/>
      <c r="J48" s="227">
        <f t="shared" si="5"/>
        <v>0</v>
      </c>
    </row>
    <row r="49" spans="1:10" ht="12.75">
      <c r="A49" s="223"/>
      <c r="B49" s="106"/>
      <c r="C49" s="437"/>
      <c r="D49" s="105"/>
      <c r="E49" s="29"/>
      <c r="F49" s="326">
        <f>SUM(D49:E49)</f>
        <v>0</v>
      </c>
      <c r="G49" s="29"/>
      <c r="H49" s="28">
        <f t="shared" si="4"/>
        <v>0</v>
      </c>
      <c r="I49" s="29"/>
      <c r="J49" s="227">
        <f t="shared" si="5"/>
        <v>0</v>
      </c>
    </row>
    <row r="50" spans="1:10" s="126" customFormat="1" ht="12.75">
      <c r="A50" s="228" t="s">
        <v>113</v>
      </c>
      <c r="B50" s="111" t="s">
        <v>100</v>
      </c>
      <c r="C50" s="127"/>
      <c r="D50" s="128">
        <f aca="true" t="shared" si="7" ref="D50:J50">SUM(D37:D49)</f>
        <v>0</v>
      </c>
      <c r="E50" s="128">
        <f t="shared" si="7"/>
        <v>21128452.4561434</v>
      </c>
      <c r="F50" s="128">
        <f t="shared" si="7"/>
        <v>21128452.4561434</v>
      </c>
      <c r="G50" s="128">
        <f t="shared" si="7"/>
        <v>0</v>
      </c>
      <c r="H50" s="128">
        <f t="shared" si="7"/>
        <v>21128452.4561434</v>
      </c>
      <c r="I50" s="128">
        <f t="shared" si="7"/>
        <v>0</v>
      </c>
      <c r="J50" s="229">
        <f t="shared" si="7"/>
        <v>21128452.4561434</v>
      </c>
    </row>
    <row r="51" spans="1:10" ht="12.75">
      <c r="A51" s="230"/>
      <c r="B51" s="10"/>
      <c r="C51" s="107"/>
      <c r="D51" s="109"/>
      <c r="E51" s="109"/>
      <c r="F51" s="109"/>
      <c r="G51" s="109"/>
      <c r="H51" s="109"/>
      <c r="I51" s="109"/>
      <c r="J51" s="231"/>
    </row>
    <row r="52" spans="1:10" s="126" customFormat="1" ht="12.75">
      <c r="A52" s="332" t="s">
        <v>82</v>
      </c>
      <c r="B52" s="11" t="s">
        <v>334</v>
      </c>
      <c r="C52" s="11"/>
      <c r="D52" s="129">
        <f>D50+D35</f>
        <v>35354563.10291007</v>
      </c>
      <c r="E52" s="129">
        <f aca="true" t="shared" si="8" ref="E52:J52">E50+E35</f>
        <v>31362419.052202977</v>
      </c>
      <c r="F52" s="129">
        <f t="shared" si="8"/>
        <v>66716982.15511305</v>
      </c>
      <c r="G52" s="129">
        <f t="shared" si="8"/>
        <v>0</v>
      </c>
      <c r="H52" s="129">
        <f t="shared" si="8"/>
        <v>66716982.15511305</v>
      </c>
      <c r="I52" s="129">
        <f t="shared" si="8"/>
        <v>0</v>
      </c>
      <c r="J52" s="225">
        <f t="shared" si="8"/>
        <v>66716982.15511305</v>
      </c>
    </row>
    <row r="53" spans="1:10" ht="13.5" thickBot="1">
      <c r="A53" s="233"/>
      <c r="B53" s="234"/>
      <c r="C53" s="234"/>
      <c r="D53" s="235"/>
      <c r="E53" s="235"/>
      <c r="F53" s="235"/>
      <c r="G53" s="235"/>
      <c r="H53" s="235"/>
      <c r="I53" s="235"/>
      <c r="J53" s="320"/>
    </row>
    <row r="56" ht="12.75">
      <c r="M56" s="333"/>
    </row>
    <row r="59" ht="12.75">
      <c r="M59" s="333"/>
    </row>
  </sheetData>
  <sheetProtection password="E1AE" sheet="1" formatColumns="0" formatRows="0"/>
  <mergeCells count="20">
    <mergeCell ref="B44:C44"/>
    <mergeCell ref="B35:C35"/>
    <mergeCell ref="C8:H8"/>
    <mergeCell ref="B17:C17"/>
    <mergeCell ref="B16:C16"/>
    <mergeCell ref="A11:J11"/>
    <mergeCell ref="B20:C20"/>
    <mergeCell ref="B21:C21"/>
    <mergeCell ref="B22:C22"/>
    <mergeCell ref="B41:C41"/>
    <mergeCell ref="B42:C42"/>
    <mergeCell ref="A1:J1"/>
    <mergeCell ref="A2:J2"/>
    <mergeCell ref="A3:J3"/>
    <mergeCell ref="A4:J4"/>
    <mergeCell ref="I6:J6"/>
    <mergeCell ref="B19:C19"/>
    <mergeCell ref="B18:C18"/>
    <mergeCell ref="A14:C15"/>
    <mergeCell ref="E6:F6"/>
  </mergeCells>
  <printOptions horizontalCentered="1" verticalCentered="1"/>
  <pageMargins left="0.25" right="0.25" top="0.5" bottom="0.5" header="0.5" footer="0.25"/>
  <pageSetup fitToWidth="0" fitToHeight="1" horizontalDpi="600" verticalDpi="600" orientation="landscape" scale="66" r:id="rId1"/>
  <headerFooter alignWithMargins="0">
    <oddFooter>&amp;LDSS-16 10-24-2016&amp;RPage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zoomScalePageLayoutView="0" workbookViewId="0" topLeftCell="A1">
      <selection activeCell="E42" sqref="E42"/>
    </sheetView>
  </sheetViews>
  <sheetFormatPr defaultColWidth="9.7109375" defaultRowHeight="12.75"/>
  <cols>
    <col min="1" max="1" width="4.7109375" style="125" customWidth="1"/>
    <col min="2" max="2" width="13.5742187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75"/>
      <c r="L1" s="75"/>
      <c r="M1" s="75"/>
      <c r="N1" s="75"/>
      <c r="O1" s="75"/>
    </row>
    <row r="2" spans="1:15" s="18" customFormat="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75"/>
      <c r="L2" s="75"/>
      <c r="M2" s="75"/>
      <c r="N2" s="75"/>
      <c r="O2" s="75"/>
    </row>
    <row r="3" spans="1:15" s="18" customFormat="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75"/>
      <c r="L3" s="75"/>
      <c r="M3" s="75"/>
      <c r="N3" s="75"/>
      <c r="O3" s="75"/>
    </row>
    <row r="4" spans="1:15" s="18" customFormat="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75"/>
      <c r="L4" s="75"/>
      <c r="M4" s="75"/>
      <c r="N4" s="75"/>
      <c r="O4" s="75"/>
    </row>
    <row r="5" spans="1:19" s="18" customFormat="1" ht="13.5" thickBot="1">
      <c r="A5" s="151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152"/>
      <c r="B6" s="77" t="s">
        <v>54</v>
      </c>
      <c r="C6" s="78"/>
      <c r="D6" s="78" t="s">
        <v>6</v>
      </c>
      <c r="E6" s="884">
        <f>'P1 Info &amp; Certification'!L20</f>
        <v>43647</v>
      </c>
      <c r="F6" s="884"/>
      <c r="G6" s="96"/>
      <c r="H6" s="95" t="s">
        <v>7</v>
      </c>
      <c r="I6" s="884">
        <f>'P1 Info &amp; Certification'!N20</f>
        <v>44012</v>
      </c>
      <c r="J6" s="902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238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154"/>
      <c r="B8" s="445" t="s">
        <v>59</v>
      </c>
      <c r="C8" s="920" t="str">
        <f>'P1 Info &amp; Certification'!E12</f>
        <v>COMMUNITY HEALTH CENTER, INC.</v>
      </c>
      <c r="D8" s="920"/>
      <c r="E8" s="920"/>
      <c r="F8" s="920"/>
      <c r="G8" s="920"/>
      <c r="H8" s="920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7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7"/>
      <c r="B10" s="19"/>
      <c r="C10" s="19"/>
      <c r="D10" s="19"/>
      <c r="E10" s="20"/>
      <c r="F10" s="19"/>
      <c r="G10" s="21"/>
      <c r="H10" s="19"/>
      <c r="I10" s="19"/>
      <c r="J10" s="17" t="s">
        <v>220</v>
      </c>
    </row>
    <row r="11" spans="1:10" s="18" customFormat="1" ht="19.5" customHeight="1">
      <c r="A11" s="917" t="s">
        <v>290</v>
      </c>
      <c r="B11" s="918"/>
      <c r="C11" s="918"/>
      <c r="D11" s="918"/>
      <c r="E11" s="918"/>
      <c r="F11" s="918"/>
      <c r="G11" s="918"/>
      <c r="H11" s="918"/>
      <c r="I11" s="918"/>
      <c r="J11" s="919"/>
    </row>
    <row r="12" spans="1:10" s="18" customFormat="1" ht="13.5" thickBot="1">
      <c r="A12" s="239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240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907" t="s">
        <v>74</v>
      </c>
      <c r="B14" s="908"/>
      <c r="C14" s="909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907"/>
      <c r="B15" s="908"/>
      <c r="C15" s="909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241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84</v>
      </c>
      <c r="B17" s="916" t="s">
        <v>252</v>
      </c>
      <c r="C17" s="916"/>
      <c r="D17" s="8"/>
      <c r="E17" s="9"/>
      <c r="F17" s="8"/>
      <c r="G17" s="8"/>
      <c r="H17" s="8"/>
      <c r="I17" s="8"/>
      <c r="J17" s="215"/>
    </row>
    <row r="18" spans="1:12" ht="12" customHeight="1">
      <c r="A18" s="244" t="s">
        <v>49</v>
      </c>
      <c r="B18" s="905" t="s">
        <v>67</v>
      </c>
      <c r="C18" s="906"/>
      <c r="D18" s="100"/>
      <c r="E18" s="101"/>
      <c r="F18" s="100"/>
      <c r="G18" s="100"/>
      <c r="H18" s="8"/>
      <c r="I18" s="100"/>
      <c r="J18" s="217"/>
      <c r="L18" s="22" t="s">
        <v>2</v>
      </c>
    </row>
    <row r="19" spans="1:10" ht="12.75">
      <c r="A19" s="218" t="s">
        <v>70</v>
      </c>
      <c r="B19" s="903" t="s">
        <v>86</v>
      </c>
      <c r="C19" s="904"/>
      <c r="D19" s="34">
        <f>+'Attachment A'!AM10</f>
        <v>2642612.778083832</v>
      </c>
      <c r="E19" s="34">
        <f>+'Attachment A'!AN10</f>
        <v>521942.45</v>
      </c>
      <c r="F19" s="35">
        <f>SUM(D19:E19)</f>
        <v>3164555.228083832</v>
      </c>
      <c r="G19" s="34"/>
      <c r="H19" s="36">
        <f aca="true" t="shared" si="0" ref="H19:H34">F19+G19</f>
        <v>3164555.228083832</v>
      </c>
      <c r="I19" s="37"/>
      <c r="J19" s="219">
        <f aca="true" t="shared" si="1" ref="J19:J34">H19+I19</f>
        <v>3164555.228083832</v>
      </c>
    </row>
    <row r="20" spans="1:10" ht="12.75">
      <c r="A20" s="220" t="s">
        <v>71</v>
      </c>
      <c r="B20" s="900" t="s">
        <v>87</v>
      </c>
      <c r="C20" s="901"/>
      <c r="D20" s="38">
        <f>+'Attachment A'!AM11</f>
        <v>1751972.907469682</v>
      </c>
      <c r="E20" s="38">
        <f>+'Attachment A'!AN11</f>
        <v>346032.17</v>
      </c>
      <c r="F20" s="40">
        <f aca="true" t="shared" si="2" ref="F20:F33">SUM(D20:E20)</f>
        <v>2098005.077469682</v>
      </c>
      <c r="G20" s="38"/>
      <c r="H20" s="36">
        <f t="shared" si="0"/>
        <v>2098005.077469682</v>
      </c>
      <c r="I20" s="39"/>
      <c r="J20" s="221">
        <f t="shared" si="1"/>
        <v>2098005.077469682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40"/>
      <c r="G21" s="38"/>
      <c r="H21" s="36"/>
      <c r="I21" s="39"/>
      <c r="J21" s="221"/>
    </row>
    <row r="22" spans="1:10" ht="12.75">
      <c r="A22" s="220"/>
      <c r="B22" s="137"/>
      <c r="C22" s="460" t="s">
        <v>446</v>
      </c>
      <c r="D22" s="38">
        <f>+'Attachment A'!AV37</f>
        <v>1700143.374156322</v>
      </c>
      <c r="E22" s="38">
        <f>+'Attachment A'!AW37</f>
        <v>335795.32786855317</v>
      </c>
      <c r="F22" s="40">
        <f t="shared" si="2"/>
        <v>2035938.7020248752</v>
      </c>
      <c r="G22" s="38"/>
      <c r="H22" s="36">
        <f t="shared" si="0"/>
        <v>2035938.7020248752</v>
      </c>
      <c r="I22" s="39"/>
      <c r="J22" s="221">
        <f t="shared" si="1"/>
        <v>2035938.7020248752</v>
      </c>
    </row>
    <row r="23" spans="1:10" ht="12.75">
      <c r="A23" s="220"/>
      <c r="B23" s="137"/>
      <c r="C23" s="461" t="s">
        <v>684</v>
      </c>
      <c r="D23" s="38"/>
      <c r="E23" s="38">
        <f>+'Attachment A'!J44</f>
        <v>125519.81</v>
      </c>
      <c r="F23" s="40">
        <f t="shared" si="2"/>
        <v>125519.81</v>
      </c>
      <c r="G23" s="38"/>
      <c r="H23" s="36">
        <f t="shared" si="0"/>
        <v>125519.81</v>
      </c>
      <c r="I23" s="39"/>
      <c r="J23" s="221">
        <f t="shared" si="1"/>
        <v>125519.81</v>
      </c>
    </row>
    <row r="24" spans="1:10" ht="12.75">
      <c r="A24" s="220"/>
      <c r="B24" s="26"/>
      <c r="C24" s="461"/>
      <c r="D24" s="38"/>
      <c r="E24" s="38"/>
      <c r="F24" s="40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0" ht="12.75">
      <c r="A25" s="220"/>
      <c r="B25" s="137"/>
      <c r="C25" s="462"/>
      <c r="D25" s="38"/>
      <c r="E25" s="38"/>
      <c r="F25" s="40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0" ht="12.75">
      <c r="A26" s="220"/>
      <c r="B26" s="137"/>
      <c r="C26" s="460"/>
      <c r="D26" s="38"/>
      <c r="E26" s="38"/>
      <c r="F26" s="40">
        <f t="shared" si="2"/>
        <v>0</v>
      </c>
      <c r="G26" s="38"/>
      <c r="H26" s="36">
        <f t="shared" si="0"/>
        <v>0</v>
      </c>
      <c r="I26" s="39"/>
      <c r="J26" s="221">
        <f t="shared" si="1"/>
        <v>0</v>
      </c>
    </row>
    <row r="27" spans="1:10" ht="12.75">
      <c r="A27" s="220"/>
      <c r="B27" s="137"/>
      <c r="C27" s="462"/>
      <c r="D27" s="38"/>
      <c r="E27" s="38"/>
      <c r="F27" s="40">
        <f t="shared" si="2"/>
        <v>0</v>
      </c>
      <c r="G27" s="38"/>
      <c r="H27" s="36">
        <f t="shared" si="0"/>
        <v>0</v>
      </c>
      <c r="I27" s="39"/>
      <c r="J27" s="221">
        <f t="shared" si="1"/>
        <v>0</v>
      </c>
    </row>
    <row r="28" spans="1:10" ht="12.75">
      <c r="A28" s="220"/>
      <c r="B28" s="137"/>
      <c r="C28" s="462"/>
      <c r="D28" s="38"/>
      <c r="E28" s="38"/>
      <c r="F28" s="40">
        <f t="shared" si="2"/>
        <v>0</v>
      </c>
      <c r="G28" s="38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38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38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2"/>
      <c r="D31" s="38"/>
      <c r="E31" s="38"/>
      <c r="F31" s="40">
        <f t="shared" si="2"/>
        <v>0</v>
      </c>
      <c r="G31" s="38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38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38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103"/>
      <c r="D34" s="104"/>
      <c r="E34" s="41"/>
      <c r="F34" s="40">
        <f>SUM(D34:E34)</f>
        <v>0</v>
      </c>
      <c r="G34" s="41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73</v>
      </c>
      <c r="B35" s="913" t="s">
        <v>101</v>
      </c>
      <c r="C35" s="914"/>
      <c r="D35" s="129">
        <f aca="true" t="shared" si="3" ref="D35:J35">SUM(D19:D34)</f>
        <v>6094729.059709836</v>
      </c>
      <c r="E35" s="129">
        <f t="shared" si="3"/>
        <v>1329289.7578685533</v>
      </c>
      <c r="F35" s="129">
        <f t="shared" si="3"/>
        <v>7424018.817578389</v>
      </c>
      <c r="G35" s="129">
        <f t="shared" si="3"/>
        <v>0</v>
      </c>
      <c r="H35" s="129">
        <f t="shared" si="3"/>
        <v>7424018.817578389</v>
      </c>
      <c r="I35" s="129">
        <f t="shared" si="3"/>
        <v>0</v>
      </c>
      <c r="J35" s="225">
        <f t="shared" si="3"/>
        <v>7424018.817578389</v>
      </c>
    </row>
    <row r="36" spans="1:10" ht="12" customHeight="1">
      <c r="A36" s="245">
        <v>2</v>
      </c>
      <c r="B36" s="7" t="s">
        <v>221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4" t="s">
        <v>222</v>
      </c>
      <c r="C37" s="442"/>
      <c r="D37" s="29"/>
      <c r="E37" s="29">
        <f>+'Attachment A'!C16</f>
        <v>577439.9899999999</v>
      </c>
      <c r="F37" s="35">
        <f>SUM(D37:E37)</f>
        <v>577439.9899999999</v>
      </c>
      <c r="G37" s="29"/>
      <c r="H37" s="28">
        <f aca="true" t="shared" si="4" ref="H37:H46">F37+G37</f>
        <v>577439.9899999999</v>
      </c>
      <c r="I37" s="29"/>
      <c r="J37" s="227">
        <f aca="true" t="shared" si="5" ref="J37:J46">H37+I37</f>
        <v>577439.9899999999</v>
      </c>
    </row>
    <row r="38" spans="1:10" ht="12.75">
      <c r="A38" s="220" t="s">
        <v>71</v>
      </c>
      <c r="B38" s="441" t="s">
        <v>77</v>
      </c>
      <c r="C38" s="446"/>
      <c r="D38" s="29"/>
      <c r="E38" s="29">
        <f>+'Attachment A'!C17</f>
        <v>30755.819999999996</v>
      </c>
      <c r="F38" s="40">
        <f aca="true" t="shared" si="6" ref="F38:F45">SUM(D38:E38)</f>
        <v>30755.819999999996</v>
      </c>
      <c r="G38" s="29"/>
      <c r="H38" s="28">
        <f t="shared" si="4"/>
        <v>30755.819999999996</v>
      </c>
      <c r="I38" s="29"/>
      <c r="J38" s="227">
        <f t="shared" si="5"/>
        <v>30755.819999999996</v>
      </c>
    </row>
    <row r="39" spans="1:10" ht="12.75">
      <c r="A39" s="220" t="s">
        <v>72</v>
      </c>
      <c r="B39" s="23" t="s">
        <v>88</v>
      </c>
      <c r="C39" s="23"/>
      <c r="D39" s="29"/>
      <c r="E39" s="29">
        <f>+'Attachment A'!C18</f>
        <v>245465.70000000004</v>
      </c>
      <c r="F39" s="40">
        <f t="shared" si="6"/>
        <v>245465.70000000004</v>
      </c>
      <c r="G39" s="29"/>
      <c r="H39" s="28">
        <f t="shared" si="4"/>
        <v>245465.70000000004</v>
      </c>
      <c r="I39" s="29"/>
      <c r="J39" s="227">
        <f t="shared" si="5"/>
        <v>245465.70000000004</v>
      </c>
    </row>
    <row r="40" spans="1:10" ht="12.75">
      <c r="A40" s="220" t="s">
        <v>73</v>
      </c>
      <c r="B40" s="23" t="s">
        <v>79</v>
      </c>
      <c r="C40" s="23"/>
      <c r="D40" s="29"/>
      <c r="E40" s="29">
        <f>+'Attachment A'!C19</f>
        <v>13832</v>
      </c>
      <c r="F40" s="40">
        <f t="shared" si="6"/>
        <v>13832</v>
      </c>
      <c r="G40" s="29"/>
      <c r="H40" s="28">
        <f t="shared" si="4"/>
        <v>13832</v>
      </c>
      <c r="I40" s="29"/>
      <c r="J40" s="227">
        <f t="shared" si="5"/>
        <v>13832</v>
      </c>
    </row>
    <row r="41" spans="1:10" ht="12.75">
      <c r="A41" s="220" t="s">
        <v>80</v>
      </c>
      <c r="B41" s="900" t="s">
        <v>69</v>
      </c>
      <c r="C41" s="901"/>
      <c r="D41" s="29"/>
      <c r="E41" s="29"/>
      <c r="F41" s="40"/>
      <c r="G41" s="29"/>
      <c r="H41" s="28"/>
      <c r="I41" s="29"/>
      <c r="J41" s="227"/>
    </row>
    <row r="42" spans="1:10" ht="12.75">
      <c r="A42" s="220"/>
      <c r="B42" s="137"/>
      <c r="C42" s="460" t="s">
        <v>446</v>
      </c>
      <c r="D42" s="29"/>
      <c r="E42" s="29">
        <f>+'Attachment A'!J39</f>
        <v>1396337.4592406678</v>
      </c>
      <c r="F42" s="40">
        <f t="shared" si="6"/>
        <v>1396337.4592406678</v>
      </c>
      <c r="G42" s="29"/>
      <c r="H42" s="28">
        <f t="shared" si="4"/>
        <v>1396337.4592406678</v>
      </c>
      <c r="I42" s="29"/>
      <c r="J42" s="227">
        <f t="shared" si="5"/>
        <v>1396337.4592406678</v>
      </c>
    </row>
    <row r="43" spans="1:10" ht="12.75">
      <c r="A43" s="220"/>
      <c r="B43" s="26"/>
      <c r="C43" s="461"/>
      <c r="D43" s="29"/>
      <c r="E43" s="29"/>
      <c r="F43" s="40">
        <f t="shared" si="6"/>
        <v>0</v>
      </c>
      <c r="G43" s="29"/>
      <c r="H43" s="28">
        <f t="shared" si="4"/>
        <v>0</v>
      </c>
      <c r="I43" s="29"/>
      <c r="J43" s="227">
        <f t="shared" si="5"/>
        <v>0</v>
      </c>
    </row>
    <row r="44" spans="1:10" ht="12.75">
      <c r="A44" s="223"/>
      <c r="B44" s="137"/>
      <c r="C44" s="462"/>
      <c r="D44" s="29"/>
      <c r="E44" s="29"/>
      <c r="F44" s="40">
        <f t="shared" si="6"/>
        <v>0</v>
      </c>
      <c r="G44" s="29"/>
      <c r="H44" s="28">
        <f t="shared" si="4"/>
        <v>0</v>
      </c>
      <c r="I44" s="29"/>
      <c r="J44" s="227">
        <f t="shared" si="5"/>
        <v>0</v>
      </c>
    </row>
    <row r="45" spans="1:10" ht="12.75">
      <c r="A45" s="223"/>
      <c r="B45" s="137"/>
      <c r="C45" s="462"/>
      <c r="D45" s="29"/>
      <c r="E45" s="29"/>
      <c r="F45" s="40">
        <f t="shared" si="6"/>
        <v>0</v>
      </c>
      <c r="G45" s="29"/>
      <c r="H45" s="28">
        <f t="shared" si="4"/>
        <v>0</v>
      </c>
      <c r="I45" s="29"/>
      <c r="J45" s="227">
        <f t="shared" si="5"/>
        <v>0</v>
      </c>
    </row>
    <row r="46" spans="1:10" ht="12.75">
      <c r="A46" s="223"/>
      <c r="B46" s="106"/>
      <c r="C46" s="437"/>
      <c r="D46" s="105"/>
      <c r="E46" s="29"/>
      <c r="F46" s="40">
        <f>SUM(D46:E46)</f>
        <v>0</v>
      </c>
      <c r="G46" s="29"/>
      <c r="H46" s="28">
        <f t="shared" si="4"/>
        <v>0</v>
      </c>
      <c r="I46" s="29"/>
      <c r="J46" s="227">
        <f t="shared" si="5"/>
        <v>0</v>
      </c>
    </row>
    <row r="47" spans="1:10" s="126" customFormat="1" ht="12.75">
      <c r="A47" s="228" t="s">
        <v>81</v>
      </c>
      <c r="B47" s="111" t="s">
        <v>98</v>
      </c>
      <c r="C47" s="127"/>
      <c r="D47" s="128">
        <f aca="true" t="shared" si="7" ref="D47:J47">SUM(D37:D46)</f>
        <v>0</v>
      </c>
      <c r="E47" s="128">
        <f t="shared" si="7"/>
        <v>2263830.9692406678</v>
      </c>
      <c r="F47" s="128">
        <f t="shared" si="7"/>
        <v>2263830.9692406678</v>
      </c>
      <c r="G47" s="128">
        <f t="shared" si="7"/>
        <v>0</v>
      </c>
      <c r="H47" s="128">
        <f t="shared" si="7"/>
        <v>2263830.9692406678</v>
      </c>
      <c r="I47" s="128">
        <f t="shared" si="7"/>
        <v>0</v>
      </c>
      <c r="J47" s="229">
        <f t="shared" si="7"/>
        <v>2263830.9692406678</v>
      </c>
    </row>
    <row r="48" spans="1:10" ht="12.75">
      <c r="A48" s="230"/>
      <c r="B48" s="10"/>
      <c r="C48" s="107"/>
      <c r="D48" s="109"/>
      <c r="E48" s="109"/>
      <c r="F48" s="109"/>
      <c r="G48" s="109"/>
      <c r="H48" s="109"/>
      <c r="I48" s="109"/>
      <c r="J48" s="231"/>
    </row>
    <row r="49" spans="1:10" s="126" customFormat="1" ht="12.75">
      <c r="A49" s="242">
        <v>3</v>
      </c>
      <c r="B49" s="11" t="s">
        <v>336</v>
      </c>
      <c r="C49" s="11"/>
      <c r="D49" s="129">
        <f>D47+D35</f>
        <v>6094729.059709836</v>
      </c>
      <c r="E49" s="129">
        <f aca="true" t="shared" si="8" ref="E49:J49">E47+E35</f>
        <v>3593120.727109221</v>
      </c>
      <c r="F49" s="129">
        <f t="shared" si="8"/>
        <v>9687849.786819058</v>
      </c>
      <c r="G49" s="129">
        <f t="shared" si="8"/>
        <v>0</v>
      </c>
      <c r="H49" s="129">
        <f t="shared" si="8"/>
        <v>9687849.786819058</v>
      </c>
      <c r="I49" s="129">
        <f t="shared" si="8"/>
        <v>0</v>
      </c>
      <c r="J49" s="225">
        <f t="shared" si="8"/>
        <v>9687849.786819058</v>
      </c>
    </row>
    <row r="50" spans="1:10" ht="13.5" thickBot="1">
      <c r="A50" s="243"/>
      <c r="B50" s="234"/>
      <c r="C50" s="234"/>
      <c r="D50" s="235"/>
      <c r="E50" s="235"/>
      <c r="F50" s="235"/>
      <c r="G50" s="235"/>
      <c r="H50" s="235"/>
      <c r="I50" s="235"/>
      <c r="J50" s="237"/>
    </row>
  </sheetData>
  <sheetProtection password="E1AE" sheet="1" formatColumns="0" formatRows="0"/>
  <mergeCells count="15">
    <mergeCell ref="B41:C41"/>
    <mergeCell ref="C8:H8"/>
    <mergeCell ref="B17:C17"/>
    <mergeCell ref="A11:J11"/>
    <mergeCell ref="A14:C15"/>
    <mergeCell ref="B18:C18"/>
    <mergeCell ref="B19:C19"/>
    <mergeCell ref="B20:C20"/>
    <mergeCell ref="A1:J1"/>
    <mergeCell ref="A2:J2"/>
    <mergeCell ref="A3:J3"/>
    <mergeCell ref="A4:J4"/>
    <mergeCell ref="I6:J6"/>
    <mergeCell ref="B35:C35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1">
      <selection activeCell="E23" sqref="E23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7.8515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75"/>
      <c r="L1" s="75"/>
      <c r="M1" s="75"/>
      <c r="N1" s="75"/>
      <c r="O1" s="75"/>
    </row>
    <row r="2" spans="1:15" s="18" customFormat="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75"/>
      <c r="L2" s="75"/>
      <c r="M2" s="75"/>
      <c r="N2" s="75"/>
      <c r="O2" s="75"/>
    </row>
    <row r="3" spans="1:15" s="18" customFormat="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75"/>
      <c r="L3" s="75"/>
      <c r="M3" s="75"/>
      <c r="N3" s="75"/>
      <c r="O3" s="75"/>
    </row>
    <row r="4" spans="1:15" s="18" customFormat="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884">
        <f>'P1 Info &amp; Certification'!L20</f>
        <v>43647</v>
      </c>
      <c r="F6" s="884"/>
      <c r="G6" s="96"/>
      <c r="H6" s="95" t="s">
        <v>7</v>
      </c>
      <c r="I6" s="884">
        <f>'P1 Info &amp; Certification'!N20</f>
        <v>44012</v>
      </c>
      <c r="J6" s="902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920" t="str">
        <f>'P1 Info &amp; Certification'!E12</f>
        <v>COMMUNITY HEALTH CENTER, INC.</v>
      </c>
      <c r="D8" s="920"/>
      <c r="E8" s="920"/>
      <c r="F8" s="920"/>
      <c r="G8" s="920"/>
      <c r="H8" s="920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223</v>
      </c>
    </row>
    <row r="11" spans="1:10" s="18" customFormat="1" ht="19.5" customHeight="1">
      <c r="A11" s="917" t="s">
        <v>290</v>
      </c>
      <c r="B11" s="918"/>
      <c r="C11" s="918"/>
      <c r="D11" s="918"/>
      <c r="E11" s="918"/>
      <c r="F11" s="918"/>
      <c r="G11" s="918"/>
      <c r="H11" s="918"/>
      <c r="I11" s="918"/>
      <c r="J11" s="919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907" t="s">
        <v>74</v>
      </c>
      <c r="B14" s="908"/>
      <c r="C14" s="909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907"/>
      <c r="B15" s="908"/>
      <c r="C15" s="909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91</v>
      </c>
      <c r="B17" s="916" t="s">
        <v>253</v>
      </c>
      <c r="C17" s="916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905" t="s">
        <v>67</v>
      </c>
      <c r="C18" s="906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903" t="s">
        <v>89</v>
      </c>
      <c r="C19" s="904"/>
      <c r="D19" s="34">
        <f>+'Attachment A'!AM14</f>
        <v>2282059.042623769</v>
      </c>
      <c r="E19" s="34">
        <f>+'Attachment A'!AN14</f>
        <v>450729.48</v>
      </c>
      <c r="F19" s="35">
        <f>SUM(D19:E19)</f>
        <v>2732788.522623769</v>
      </c>
      <c r="G19" s="34"/>
      <c r="H19" s="36">
        <f aca="true" t="shared" si="0" ref="H19:H29">F19+G19</f>
        <v>2732788.522623769</v>
      </c>
      <c r="I19" s="37"/>
      <c r="J19" s="219">
        <f aca="true" t="shared" si="1" ref="J19:J29">H19+I19</f>
        <v>2732788.522623769</v>
      </c>
    </row>
    <row r="20" spans="1:10" ht="12.75">
      <c r="A20" s="220" t="s">
        <v>71</v>
      </c>
      <c r="B20" s="900" t="s">
        <v>90</v>
      </c>
      <c r="C20" s="901"/>
      <c r="D20" s="38">
        <f>+'Attachment A'!AM15</f>
        <v>9388864.562004838</v>
      </c>
      <c r="E20" s="38">
        <f>+'Attachment A'!AN15</f>
        <v>1854394.64</v>
      </c>
      <c r="F20" s="36">
        <f>SUM(D20:E20)</f>
        <v>11243259.202004839</v>
      </c>
      <c r="G20" s="38"/>
      <c r="H20" s="36">
        <f t="shared" si="0"/>
        <v>11243259.202004839</v>
      </c>
      <c r="I20" s="39"/>
      <c r="J20" s="221">
        <f t="shared" si="1"/>
        <v>11243259.202004839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36"/>
      <c r="G21" s="38"/>
      <c r="H21" s="36"/>
      <c r="I21" s="39"/>
      <c r="J21" s="221"/>
    </row>
    <row r="22" spans="1:10" ht="12.75">
      <c r="A22" s="220"/>
      <c r="B22" s="465"/>
      <c r="C22" s="460" t="s">
        <v>446</v>
      </c>
      <c r="D22" s="38">
        <f>+'Attachment A'!AZ37</f>
        <v>4986680.112820313</v>
      </c>
      <c r="E22" s="38">
        <f>+'Attachment A'!BA37</f>
        <v>984919.186071874</v>
      </c>
      <c r="F22" s="36">
        <f>SUM(D22:E22)</f>
        <v>5971599.298892187</v>
      </c>
      <c r="G22" s="38"/>
      <c r="H22" s="36">
        <f t="shared" si="0"/>
        <v>5971599.298892187</v>
      </c>
      <c r="I22" s="39"/>
      <c r="J22" s="221">
        <f t="shared" si="1"/>
        <v>5971599.298892187</v>
      </c>
    </row>
    <row r="23" spans="1:10" ht="12.75">
      <c r="A23" s="220"/>
      <c r="B23" s="465"/>
      <c r="C23" s="461" t="s">
        <v>684</v>
      </c>
      <c r="D23" s="38"/>
      <c r="E23" s="38">
        <f>+'Attachment A'!M44</f>
        <v>445208.17</v>
      </c>
      <c r="F23" s="36">
        <f aca="true" t="shared" si="2" ref="F23:F28">SUM(D23:E23)</f>
        <v>445208.17</v>
      </c>
      <c r="G23" s="38"/>
      <c r="H23" s="36">
        <f t="shared" si="0"/>
        <v>445208.17</v>
      </c>
      <c r="I23" s="39"/>
      <c r="J23" s="221">
        <f t="shared" si="1"/>
        <v>445208.17</v>
      </c>
    </row>
    <row r="24" spans="1:10" ht="12.75">
      <c r="A24" s="220"/>
      <c r="B24" s="466"/>
      <c r="C24" s="461"/>
      <c r="D24" s="38"/>
      <c r="E24" s="38"/>
      <c r="F24" s="36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0" ht="12.75">
      <c r="A25" s="220"/>
      <c r="B25" s="465"/>
      <c r="C25" s="462"/>
      <c r="D25" s="38"/>
      <c r="E25" s="38"/>
      <c r="F25" s="36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1" ht="12.75">
      <c r="A26" s="220"/>
      <c r="B26" s="465"/>
      <c r="C26" s="462"/>
      <c r="D26" s="38"/>
      <c r="E26" s="38"/>
      <c r="F26" s="36">
        <f t="shared" si="2"/>
        <v>0</v>
      </c>
      <c r="G26" s="38"/>
      <c r="H26" s="40">
        <f t="shared" si="0"/>
        <v>0</v>
      </c>
      <c r="I26" s="38"/>
      <c r="J26" s="222">
        <f t="shared" si="1"/>
        <v>0</v>
      </c>
      <c r="K26" s="33"/>
    </row>
    <row r="27" spans="1:11" ht="12.75">
      <c r="A27" s="220"/>
      <c r="B27" s="465"/>
      <c r="C27" s="462"/>
      <c r="D27" s="38"/>
      <c r="E27" s="38"/>
      <c r="F27" s="36">
        <f t="shared" si="2"/>
        <v>0</v>
      </c>
      <c r="G27" s="38"/>
      <c r="H27" s="40">
        <f t="shared" si="0"/>
        <v>0</v>
      </c>
      <c r="I27" s="38"/>
      <c r="J27" s="222">
        <f t="shared" si="1"/>
        <v>0</v>
      </c>
      <c r="K27" s="33"/>
    </row>
    <row r="28" spans="1:11" ht="12.75" customHeight="1">
      <c r="A28" s="223"/>
      <c r="B28" s="25"/>
      <c r="C28" s="462"/>
      <c r="D28" s="38"/>
      <c r="E28" s="38"/>
      <c r="F28" s="36">
        <f t="shared" si="2"/>
        <v>0</v>
      </c>
      <c r="G28" s="38"/>
      <c r="H28" s="40">
        <f t="shared" si="0"/>
        <v>0</v>
      </c>
      <c r="I28" s="38"/>
      <c r="J28" s="222">
        <f t="shared" si="1"/>
        <v>0</v>
      </c>
      <c r="K28" s="33"/>
    </row>
    <row r="29" spans="1:11" ht="12.75" customHeight="1">
      <c r="A29" s="223"/>
      <c r="B29" s="110"/>
      <c r="C29" s="460"/>
      <c r="D29" s="104"/>
      <c r="E29" s="41"/>
      <c r="F29" s="40">
        <f>SUM(D29:E29)</f>
        <v>0</v>
      </c>
      <c r="G29" s="41"/>
      <c r="H29" s="40">
        <f t="shared" si="0"/>
        <v>0</v>
      </c>
      <c r="I29" s="41"/>
      <c r="J29" s="222">
        <f t="shared" si="1"/>
        <v>0</v>
      </c>
      <c r="K29" s="33"/>
    </row>
    <row r="30" spans="1:10" s="126" customFormat="1" ht="12.75">
      <c r="A30" s="224" t="s">
        <v>73</v>
      </c>
      <c r="B30" s="913" t="s">
        <v>224</v>
      </c>
      <c r="C30" s="914"/>
      <c r="D30" s="129">
        <f aca="true" t="shared" si="3" ref="D30:J30">SUM(D19:D29)</f>
        <v>16657603.71744892</v>
      </c>
      <c r="E30" s="129">
        <f t="shared" si="3"/>
        <v>3735251.476071874</v>
      </c>
      <c r="F30" s="129">
        <f t="shared" si="3"/>
        <v>20392855.1935208</v>
      </c>
      <c r="G30" s="129">
        <f t="shared" si="3"/>
        <v>0</v>
      </c>
      <c r="H30" s="129">
        <f t="shared" si="3"/>
        <v>20392855.1935208</v>
      </c>
      <c r="I30" s="129">
        <f t="shared" si="3"/>
        <v>0</v>
      </c>
      <c r="J30" s="225">
        <f t="shared" si="3"/>
        <v>20392855.1935208</v>
      </c>
    </row>
    <row r="31" spans="1:10" ht="12" customHeight="1">
      <c r="A31" s="335" t="s">
        <v>50</v>
      </c>
      <c r="B31" s="7" t="s">
        <v>225</v>
      </c>
      <c r="C31" s="7"/>
      <c r="D31" s="8"/>
      <c r="E31" s="9"/>
      <c r="F31" s="8"/>
      <c r="G31" s="8"/>
      <c r="H31" s="8"/>
      <c r="I31" s="8"/>
      <c r="J31" s="215"/>
    </row>
    <row r="32" spans="1:10" ht="12.75">
      <c r="A32" s="218" t="s">
        <v>70</v>
      </c>
      <c r="B32" s="446" t="s">
        <v>76</v>
      </c>
      <c r="C32" s="442"/>
      <c r="D32" s="29"/>
      <c r="E32" s="29">
        <f>+'Attachment A'!C24</f>
        <v>16820.85</v>
      </c>
      <c r="F32" s="35">
        <f>SUM(D32:E32)</f>
        <v>16820.85</v>
      </c>
      <c r="G32" s="29"/>
      <c r="H32" s="28">
        <f aca="true" t="shared" si="4" ref="H32:H41">F32+G32</f>
        <v>16820.85</v>
      </c>
      <c r="I32" s="29"/>
      <c r="J32" s="227">
        <f aca="true" t="shared" si="5" ref="J32:J41">H32+I32</f>
        <v>16820.85</v>
      </c>
    </row>
    <row r="33" spans="1:10" ht="12.75">
      <c r="A33" s="220" t="s">
        <v>71</v>
      </c>
      <c r="B33" s="441" t="s">
        <v>77</v>
      </c>
      <c r="C33" s="446"/>
      <c r="D33" s="29"/>
      <c r="E33" s="29">
        <f>+'Attachment A'!C25</f>
        <v>21522.730000000003</v>
      </c>
      <c r="F33" s="36">
        <f aca="true" t="shared" si="6" ref="F33:F40">SUM(D33:E33)</f>
        <v>21522.730000000003</v>
      </c>
      <c r="G33" s="29">
        <f>+'Attachment A'!AC76</f>
        <v>0</v>
      </c>
      <c r="H33" s="28">
        <f t="shared" si="4"/>
        <v>21522.730000000003</v>
      </c>
      <c r="I33" s="29"/>
      <c r="J33" s="227">
        <f t="shared" si="5"/>
        <v>21522.730000000003</v>
      </c>
    </row>
    <row r="34" spans="1:10" ht="12.75">
      <c r="A34" s="220" t="s">
        <v>72</v>
      </c>
      <c r="B34" s="23" t="s">
        <v>216</v>
      </c>
      <c r="C34" s="23"/>
      <c r="D34" s="29"/>
      <c r="E34" s="29">
        <f>+'Attachment A'!C26</f>
        <v>51161.14</v>
      </c>
      <c r="F34" s="36">
        <f t="shared" si="6"/>
        <v>51161.14</v>
      </c>
      <c r="G34" s="29">
        <f>+'Attachment A'!AD76</f>
        <v>0</v>
      </c>
      <c r="H34" s="28">
        <f t="shared" si="4"/>
        <v>51161.14</v>
      </c>
      <c r="I34" s="29"/>
      <c r="J34" s="227">
        <f t="shared" si="5"/>
        <v>51161.14</v>
      </c>
    </row>
    <row r="35" spans="1:10" ht="12.75">
      <c r="A35" s="220" t="s">
        <v>73</v>
      </c>
      <c r="B35" s="23" t="s">
        <v>79</v>
      </c>
      <c r="C35" s="23"/>
      <c r="D35" s="29"/>
      <c r="E35" s="29">
        <f>+'Attachment A'!C27</f>
        <v>45196</v>
      </c>
      <c r="F35" s="36">
        <f t="shared" si="6"/>
        <v>45196</v>
      </c>
      <c r="G35" s="29"/>
      <c r="H35" s="28">
        <f t="shared" si="4"/>
        <v>45196</v>
      </c>
      <c r="I35" s="29"/>
      <c r="J35" s="227">
        <f t="shared" si="5"/>
        <v>45196</v>
      </c>
    </row>
    <row r="36" spans="1:10" ht="12.75">
      <c r="A36" s="220" t="s">
        <v>80</v>
      </c>
      <c r="B36" s="900" t="s">
        <v>69</v>
      </c>
      <c r="C36" s="901"/>
      <c r="D36" s="29"/>
      <c r="E36" s="29"/>
      <c r="F36" s="36"/>
      <c r="G36" s="29"/>
      <c r="H36" s="28"/>
      <c r="I36" s="29"/>
      <c r="J36" s="227"/>
    </row>
    <row r="37" spans="1:10" ht="12.75">
      <c r="A37" s="220"/>
      <c r="B37" s="465"/>
      <c r="C37" s="460" t="s">
        <v>446</v>
      </c>
      <c r="D37" s="29"/>
      <c r="E37" s="29">
        <f>+'Attachment A'!M39</f>
        <v>1896820.5921159303</v>
      </c>
      <c r="F37" s="36">
        <f t="shared" si="6"/>
        <v>1896820.5921159303</v>
      </c>
      <c r="G37" s="29">
        <f>+'Attachment A'!AE76</f>
        <v>0</v>
      </c>
      <c r="H37" s="28">
        <f t="shared" si="4"/>
        <v>1896820.5921159303</v>
      </c>
      <c r="I37" s="29"/>
      <c r="J37" s="227">
        <f t="shared" si="5"/>
        <v>1896820.5921159303</v>
      </c>
    </row>
    <row r="38" spans="1:10" ht="12.75">
      <c r="A38" s="220"/>
      <c r="B38" s="466"/>
      <c r="C38" s="461" t="s">
        <v>701</v>
      </c>
      <c r="D38" s="29"/>
      <c r="E38" s="29">
        <f>+'Attachment A'!AD28</f>
        <v>500473.0725</v>
      </c>
      <c r="F38" s="36">
        <f t="shared" si="6"/>
        <v>500473.0725</v>
      </c>
      <c r="G38" s="29"/>
      <c r="H38" s="28">
        <f t="shared" si="4"/>
        <v>500473.0725</v>
      </c>
      <c r="I38" s="29"/>
      <c r="J38" s="227">
        <f t="shared" si="5"/>
        <v>500473.0725</v>
      </c>
    </row>
    <row r="39" spans="1:10" ht="12.75">
      <c r="A39" s="223"/>
      <c r="B39" s="465"/>
      <c r="C39" s="462"/>
      <c r="D39" s="29"/>
      <c r="E39" s="29"/>
      <c r="F39" s="36">
        <f t="shared" si="6"/>
        <v>0</v>
      </c>
      <c r="G39" s="29"/>
      <c r="H39" s="28">
        <f t="shared" si="4"/>
        <v>0</v>
      </c>
      <c r="I39" s="29"/>
      <c r="J39" s="227">
        <f t="shared" si="5"/>
        <v>0</v>
      </c>
    </row>
    <row r="40" spans="1:10" ht="12.75">
      <c r="A40" s="223"/>
      <c r="B40" s="465"/>
      <c r="C40" s="462"/>
      <c r="D40" s="29"/>
      <c r="E40" s="29"/>
      <c r="F40" s="36">
        <f t="shared" si="6"/>
        <v>0</v>
      </c>
      <c r="G40" s="29"/>
      <c r="H40" s="28">
        <f t="shared" si="4"/>
        <v>0</v>
      </c>
      <c r="I40" s="29"/>
      <c r="J40" s="227">
        <f t="shared" si="5"/>
        <v>0</v>
      </c>
    </row>
    <row r="41" spans="1:10" ht="12.75">
      <c r="A41" s="223"/>
      <c r="B41" s="106"/>
      <c r="C41" s="437"/>
      <c r="D41" s="105"/>
      <c r="E41" s="29"/>
      <c r="F41" s="40">
        <f>SUM(D41:E41)</f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s="126" customFormat="1" ht="12.75">
      <c r="A42" s="228" t="s">
        <v>81</v>
      </c>
      <c r="B42" s="111" t="s">
        <v>226</v>
      </c>
      <c r="C42" s="127"/>
      <c r="D42" s="128">
        <f aca="true" t="shared" si="7" ref="D42:J42">SUM(D32:D41)</f>
        <v>0</v>
      </c>
      <c r="E42" s="128">
        <f t="shared" si="7"/>
        <v>2531994.3846159303</v>
      </c>
      <c r="F42" s="128">
        <f t="shared" si="7"/>
        <v>2531994.3846159303</v>
      </c>
      <c r="G42" s="128">
        <f t="shared" si="7"/>
        <v>0</v>
      </c>
      <c r="H42" s="128">
        <f t="shared" si="7"/>
        <v>2531994.3846159303</v>
      </c>
      <c r="I42" s="128">
        <f t="shared" si="7"/>
        <v>0</v>
      </c>
      <c r="J42" s="229">
        <f t="shared" si="7"/>
        <v>2531994.3846159303</v>
      </c>
    </row>
    <row r="43" spans="1:10" ht="12.75">
      <c r="A43" s="230"/>
      <c r="B43" s="10"/>
      <c r="C43" s="107"/>
      <c r="D43" s="109"/>
      <c r="E43" s="109"/>
      <c r="F43" s="109"/>
      <c r="G43" s="109"/>
      <c r="H43" s="109"/>
      <c r="I43" s="109"/>
      <c r="J43" s="231"/>
    </row>
    <row r="44" spans="1:10" ht="12.75">
      <c r="A44" s="232" t="s">
        <v>82</v>
      </c>
      <c r="B44" s="130" t="s">
        <v>335</v>
      </c>
      <c r="C44" s="130"/>
      <c r="D44" s="131">
        <f>D42+D30</f>
        <v>16657603.71744892</v>
      </c>
      <c r="E44" s="131">
        <f aca="true" t="shared" si="8" ref="E44:J44">E42+E30</f>
        <v>6267245.860687804</v>
      </c>
      <c r="F44" s="131">
        <f t="shared" si="8"/>
        <v>22924849.57813673</v>
      </c>
      <c r="G44" s="131">
        <f t="shared" si="8"/>
        <v>0</v>
      </c>
      <c r="H44" s="131">
        <f t="shared" si="8"/>
        <v>22924849.57813673</v>
      </c>
      <c r="I44" s="131">
        <f t="shared" si="8"/>
        <v>0</v>
      </c>
      <c r="J44" s="246">
        <f t="shared" si="8"/>
        <v>22924849.57813673</v>
      </c>
    </row>
    <row r="45" spans="1:10" s="126" customFormat="1" ht="24" customHeight="1" thickBot="1">
      <c r="A45" s="247" t="s">
        <v>92</v>
      </c>
      <c r="B45" s="921" t="s">
        <v>337</v>
      </c>
      <c r="C45" s="921"/>
      <c r="D45" s="331">
        <f>D44+'P4 Form A-2 - Dental'!D49+'P3 Form A-1 Health Care'!D52</f>
        <v>58106895.88006882</v>
      </c>
      <c r="E45" s="331">
        <f>E44+'P4 Form A-2 - Dental'!E49+'P3 Form A-1 Health Care'!E52</f>
        <v>41222785.64</v>
      </c>
      <c r="F45" s="331">
        <f>F44+'P4 Form A-2 - Dental'!F49+'P3 Form A-1 Health Care'!F52</f>
        <v>99329681.52006884</v>
      </c>
      <c r="G45" s="331">
        <f>G44+'P4 Form A-2 - Dental'!G49+'P3 Form A-1 Health Care'!G52</f>
        <v>0</v>
      </c>
      <c r="H45" s="331">
        <f>H44+'P4 Form A-2 - Dental'!H49+'P3 Form A-1 Health Care'!H52</f>
        <v>99329681.52006884</v>
      </c>
      <c r="I45" s="331">
        <f>I44+'P4 Form A-2 - Dental'!I49+'P3 Form A-1 Health Care'!I52</f>
        <v>0</v>
      </c>
      <c r="J45" s="331">
        <f>J44+'P4 Form A-2 - Dental'!J49+'P3 Form A-1 Health Care'!J52</f>
        <v>99329681.52006884</v>
      </c>
    </row>
    <row r="46" spans="1:10" ht="13.5" thickBot="1" thickTop="1">
      <c r="A46" s="248"/>
      <c r="B46" s="249"/>
      <c r="C46" s="249"/>
      <c r="D46" s="249"/>
      <c r="E46" s="250"/>
      <c r="F46" s="249"/>
      <c r="G46" s="249"/>
      <c r="H46" s="249"/>
      <c r="I46" s="249"/>
      <c r="J46" s="236"/>
    </row>
    <row r="47" ht="12.75">
      <c r="A47" s="125"/>
    </row>
    <row r="48" ht="12.75">
      <c r="A48" s="125"/>
    </row>
  </sheetData>
  <sheetProtection password="E1AE" sheet="1" formatColumns="0" formatRows="0"/>
  <mergeCells count="16">
    <mergeCell ref="B30:C30"/>
    <mergeCell ref="B36:C36"/>
    <mergeCell ref="B45:C45"/>
    <mergeCell ref="A11:J11"/>
    <mergeCell ref="A14:C15"/>
    <mergeCell ref="B17:C17"/>
    <mergeCell ref="B18:C18"/>
    <mergeCell ref="B19:C19"/>
    <mergeCell ref="B20:C20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39"/>
  <sheetViews>
    <sheetView zoomScalePageLayoutView="0" workbookViewId="0" topLeftCell="E19">
      <selection activeCell="D29" sqref="D29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0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3.5">
      <c r="A1" s="877" t="s">
        <v>45</v>
      </c>
      <c r="B1" s="877"/>
      <c r="C1" s="877"/>
      <c r="D1" s="877"/>
      <c r="E1" s="877"/>
      <c r="F1" s="877"/>
      <c r="G1" s="877"/>
      <c r="H1" s="877"/>
      <c r="I1" s="877"/>
      <c r="J1" s="877"/>
      <c r="K1" s="75"/>
      <c r="L1" s="75"/>
      <c r="M1" s="75"/>
      <c r="N1" s="75"/>
      <c r="O1" s="75"/>
    </row>
    <row r="2" spans="1:15" s="18" customFormat="1" ht="13.5">
      <c r="A2" s="877" t="s">
        <v>46</v>
      </c>
      <c r="B2" s="877"/>
      <c r="C2" s="877"/>
      <c r="D2" s="877"/>
      <c r="E2" s="877"/>
      <c r="F2" s="877"/>
      <c r="G2" s="877"/>
      <c r="H2" s="877"/>
      <c r="I2" s="877"/>
      <c r="J2" s="877"/>
      <c r="K2" s="75"/>
      <c r="L2" s="75"/>
      <c r="M2" s="75"/>
      <c r="N2" s="75"/>
      <c r="O2" s="75"/>
    </row>
    <row r="3" spans="1:15" s="18" customFormat="1" ht="13.5">
      <c r="A3" s="877" t="s">
        <v>47</v>
      </c>
      <c r="B3" s="877"/>
      <c r="C3" s="877"/>
      <c r="D3" s="877"/>
      <c r="E3" s="877"/>
      <c r="F3" s="877"/>
      <c r="G3" s="877"/>
      <c r="H3" s="877"/>
      <c r="I3" s="877"/>
      <c r="J3" s="877"/>
      <c r="K3" s="75"/>
      <c r="L3" s="75"/>
      <c r="M3" s="75"/>
      <c r="N3" s="75"/>
      <c r="O3" s="75"/>
    </row>
    <row r="4" spans="1:15" s="18" customFormat="1" ht="13.5">
      <c r="A4" s="877" t="s">
        <v>48</v>
      </c>
      <c r="B4" s="877"/>
      <c r="C4" s="877"/>
      <c r="D4" s="877"/>
      <c r="E4" s="877"/>
      <c r="F4" s="877"/>
      <c r="G4" s="877"/>
      <c r="H4" s="877"/>
      <c r="I4" s="877"/>
      <c r="J4" s="87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430"/>
      <c r="L5" s="430"/>
      <c r="M5" s="430"/>
      <c r="N5" s="430"/>
      <c r="O5" s="430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884">
        <f>'P1 Info &amp; Certification'!L20</f>
        <v>43647</v>
      </c>
      <c r="F6" s="884"/>
      <c r="G6" s="96"/>
      <c r="H6" s="95" t="s">
        <v>7</v>
      </c>
      <c r="I6" s="884">
        <f>'P1 Info &amp; Certification'!N20</f>
        <v>44012</v>
      </c>
      <c r="J6" s="902"/>
      <c r="K6" s="432"/>
      <c r="L6" s="433"/>
      <c r="M6" s="92"/>
      <c r="N6" s="92"/>
      <c r="O6" s="433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920" t="str">
        <f>'P1 Info &amp; Certification'!E12</f>
        <v>COMMUNITY HEALTH CENTER, INC.</v>
      </c>
      <c r="D8" s="920"/>
      <c r="E8" s="920"/>
      <c r="F8" s="920"/>
      <c r="G8" s="920"/>
      <c r="H8" s="920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342</v>
      </c>
    </row>
    <row r="11" spans="1:10" s="18" customFormat="1" ht="19.5" customHeight="1">
      <c r="A11" s="917" t="s">
        <v>290</v>
      </c>
      <c r="B11" s="918"/>
      <c r="C11" s="918"/>
      <c r="D11" s="918"/>
      <c r="E11" s="918"/>
      <c r="F11" s="918"/>
      <c r="G11" s="918"/>
      <c r="H11" s="918"/>
      <c r="I11" s="918"/>
      <c r="J11" s="919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907" t="s">
        <v>74</v>
      </c>
      <c r="B14" s="908"/>
      <c r="C14" s="909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907"/>
      <c r="B15" s="908"/>
      <c r="C15" s="909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75</v>
      </c>
      <c r="B17" s="916" t="s">
        <v>332</v>
      </c>
      <c r="C17" s="916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905" t="s">
        <v>93</v>
      </c>
      <c r="C18" s="906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903" t="s">
        <v>94</v>
      </c>
      <c r="C19" s="904"/>
      <c r="D19" s="34"/>
      <c r="E19" s="34"/>
      <c r="F19" s="35">
        <f aca="true" t="shared" si="0" ref="F19:F25">SUM(D19:E19)</f>
        <v>0</v>
      </c>
      <c r="G19" s="34"/>
      <c r="H19" s="36">
        <f aca="true" t="shared" si="1" ref="H19:H24">F19+G19</f>
        <v>0</v>
      </c>
      <c r="I19" s="37"/>
      <c r="J19" s="219">
        <f aca="true" t="shared" si="2" ref="J19:J24">H19+I19</f>
        <v>0</v>
      </c>
    </row>
    <row r="20" spans="1:10" ht="12.75">
      <c r="A20" s="220" t="s">
        <v>71</v>
      </c>
      <c r="B20" s="900" t="s">
        <v>217</v>
      </c>
      <c r="C20" s="901"/>
      <c r="D20" s="38"/>
      <c r="E20" s="38"/>
      <c r="F20" s="36">
        <f t="shared" si="0"/>
        <v>0</v>
      </c>
      <c r="G20" s="38"/>
      <c r="H20" s="36">
        <f t="shared" si="1"/>
        <v>0</v>
      </c>
      <c r="I20" s="39"/>
      <c r="J20" s="221">
        <f t="shared" si="2"/>
        <v>0</v>
      </c>
    </row>
    <row r="21" spans="1:10" ht="12.75">
      <c r="A21" s="220" t="s">
        <v>72</v>
      </c>
      <c r="B21" s="441" t="s">
        <v>330</v>
      </c>
      <c r="C21" s="442"/>
      <c r="D21" s="38"/>
      <c r="E21" s="38"/>
      <c r="F21" s="36">
        <f t="shared" si="0"/>
        <v>0</v>
      </c>
      <c r="G21" s="38"/>
      <c r="H21" s="36">
        <f t="shared" si="1"/>
        <v>0</v>
      </c>
      <c r="I21" s="39"/>
      <c r="J21" s="221">
        <f t="shared" si="2"/>
        <v>0</v>
      </c>
    </row>
    <row r="22" spans="1:10" ht="12.75">
      <c r="A22" s="220" t="s">
        <v>73</v>
      </c>
      <c r="B22" s="441" t="s">
        <v>95</v>
      </c>
      <c r="C22" s="442"/>
      <c r="D22" s="38">
        <f>+'Attachment A'!AM18</f>
        <v>461691.13452847116</v>
      </c>
      <c r="E22" s="38">
        <f>+'Attachment A'!AN18</f>
        <v>91188.62</v>
      </c>
      <c r="F22" s="36">
        <f t="shared" si="0"/>
        <v>552879.7545284712</v>
      </c>
      <c r="G22" s="38"/>
      <c r="H22" s="36">
        <f t="shared" si="1"/>
        <v>552879.7545284712</v>
      </c>
      <c r="I22" s="39"/>
      <c r="J22" s="221">
        <f t="shared" si="2"/>
        <v>552879.7545284712</v>
      </c>
    </row>
    <row r="23" spans="1:10" ht="12.75">
      <c r="A23" s="220" t="s">
        <v>80</v>
      </c>
      <c r="B23" s="441" t="s">
        <v>96</v>
      </c>
      <c r="C23" s="442"/>
      <c r="D23" s="38">
        <f>+'Attachment A'!AM19</f>
        <v>67174.00200040943</v>
      </c>
      <c r="E23" s="38">
        <f>+'Attachment A'!AN19</f>
        <v>13267.54</v>
      </c>
      <c r="F23" s="36">
        <f t="shared" si="0"/>
        <v>80441.54200040942</v>
      </c>
      <c r="G23" s="38"/>
      <c r="H23" s="36">
        <f t="shared" si="1"/>
        <v>80441.54200040942</v>
      </c>
      <c r="I23" s="39"/>
      <c r="J23" s="221">
        <f t="shared" si="2"/>
        <v>80441.54200040942</v>
      </c>
    </row>
    <row r="24" spans="1:10" ht="12.75">
      <c r="A24" s="220" t="s">
        <v>81</v>
      </c>
      <c r="B24" s="441" t="s">
        <v>331</v>
      </c>
      <c r="C24" s="442"/>
      <c r="D24" s="38"/>
      <c r="E24" s="38"/>
      <c r="F24" s="36">
        <f t="shared" si="0"/>
        <v>0</v>
      </c>
      <c r="G24" s="38"/>
      <c r="H24" s="36">
        <f t="shared" si="1"/>
        <v>0</v>
      </c>
      <c r="I24" s="39"/>
      <c r="J24" s="221">
        <f t="shared" si="2"/>
        <v>0</v>
      </c>
    </row>
    <row r="25" spans="1:10" ht="12.75">
      <c r="A25" s="220" t="s">
        <v>112</v>
      </c>
      <c r="B25" s="441" t="s">
        <v>97</v>
      </c>
      <c r="C25" s="442"/>
      <c r="D25" s="38"/>
      <c r="E25" s="38"/>
      <c r="F25" s="36">
        <f t="shared" si="0"/>
        <v>0</v>
      </c>
      <c r="G25" s="38"/>
      <c r="H25" s="36">
        <f>F25+G25</f>
        <v>0</v>
      </c>
      <c r="I25" s="39"/>
      <c r="J25" s="221">
        <f>H25+I25</f>
        <v>0</v>
      </c>
    </row>
    <row r="26" spans="1:10" ht="12.75">
      <c r="A26" s="220" t="s">
        <v>114</v>
      </c>
      <c r="B26" s="441" t="s">
        <v>69</v>
      </c>
      <c r="C26" s="442"/>
      <c r="D26" s="38"/>
      <c r="E26" s="38"/>
      <c r="F26" s="36"/>
      <c r="G26" s="38"/>
      <c r="H26" s="36"/>
      <c r="I26" s="39"/>
      <c r="J26" s="221"/>
    </row>
    <row r="27" spans="1:10" ht="12.75">
      <c r="A27" s="220"/>
      <c r="B27" s="513"/>
      <c r="C27" s="460" t="s">
        <v>446</v>
      </c>
      <c r="D27" s="38"/>
      <c r="E27" s="38">
        <f>+'Attachment A'!P36</f>
        <v>194322.24</v>
      </c>
      <c r="F27" s="36">
        <f aca="true" t="shared" si="3" ref="F27:F34">SUM(D27:E27)</f>
        <v>194322.24</v>
      </c>
      <c r="G27" s="38"/>
      <c r="H27" s="36">
        <f aca="true" t="shared" si="4" ref="H27:H35">F27+G27</f>
        <v>194322.24</v>
      </c>
      <c r="I27" s="39"/>
      <c r="J27" s="221">
        <f aca="true" t="shared" si="5" ref="J27:J35">H27+I27</f>
        <v>194322.24</v>
      </c>
    </row>
    <row r="28" spans="1:10" ht="12.75">
      <c r="A28" s="220"/>
      <c r="B28" s="465"/>
      <c r="C28" s="460" t="s">
        <v>494</v>
      </c>
      <c r="D28" s="38">
        <v>0</v>
      </c>
      <c r="E28" s="38">
        <v>0</v>
      </c>
      <c r="F28" s="36">
        <f t="shared" si="3"/>
        <v>0</v>
      </c>
      <c r="G28" s="38"/>
      <c r="H28" s="36">
        <f t="shared" si="4"/>
        <v>0</v>
      </c>
      <c r="I28" s="39"/>
      <c r="J28" s="221">
        <f t="shared" si="5"/>
        <v>0</v>
      </c>
    </row>
    <row r="29" spans="1:10" ht="12.75">
      <c r="A29" s="220"/>
      <c r="B29" s="465"/>
      <c r="C29" s="460" t="s">
        <v>587</v>
      </c>
      <c r="D29" s="38">
        <f>+'Attachment A'!AM20</f>
        <v>933.0984826968484</v>
      </c>
      <c r="E29" s="38">
        <f>+'Attachment A'!AN20</f>
        <v>184.3</v>
      </c>
      <c r="F29" s="36">
        <f t="shared" si="3"/>
        <v>1117.3984826968483</v>
      </c>
      <c r="G29" s="38"/>
      <c r="H29" s="36">
        <f t="shared" si="4"/>
        <v>1117.3984826968483</v>
      </c>
      <c r="I29" s="39"/>
      <c r="J29" s="221">
        <f t="shared" si="5"/>
        <v>1117.3984826968483</v>
      </c>
    </row>
    <row r="30" spans="1:10" ht="12.75">
      <c r="A30" s="220"/>
      <c r="B30" s="466"/>
      <c r="C30" s="461"/>
      <c r="D30" s="38"/>
      <c r="E30" s="38"/>
      <c r="F30" s="36">
        <f t="shared" si="3"/>
        <v>0</v>
      </c>
      <c r="G30" s="38"/>
      <c r="H30" s="36">
        <f t="shared" si="4"/>
        <v>0</v>
      </c>
      <c r="I30" s="39"/>
      <c r="J30" s="221">
        <f t="shared" si="5"/>
        <v>0</v>
      </c>
    </row>
    <row r="31" spans="1:10" ht="12.75">
      <c r="A31" s="220"/>
      <c r="B31" s="465"/>
      <c r="C31" s="462"/>
      <c r="D31" s="38"/>
      <c r="E31" s="38"/>
      <c r="F31" s="36">
        <f t="shared" si="3"/>
        <v>0</v>
      </c>
      <c r="G31" s="38"/>
      <c r="H31" s="36">
        <f t="shared" si="4"/>
        <v>0</v>
      </c>
      <c r="I31" s="39"/>
      <c r="J31" s="221">
        <f t="shared" si="5"/>
        <v>0</v>
      </c>
    </row>
    <row r="32" spans="1:11" ht="12.75">
      <c r="A32" s="220"/>
      <c r="B32" s="465"/>
      <c r="C32" s="462"/>
      <c r="D32" s="38"/>
      <c r="E32" s="38"/>
      <c r="F32" s="36">
        <f t="shared" si="3"/>
        <v>0</v>
      </c>
      <c r="G32" s="38"/>
      <c r="H32" s="40">
        <f t="shared" si="4"/>
        <v>0</v>
      </c>
      <c r="I32" s="38"/>
      <c r="J32" s="222">
        <f t="shared" si="5"/>
        <v>0</v>
      </c>
      <c r="K32" s="33"/>
    </row>
    <row r="33" spans="1:11" ht="12.75">
      <c r="A33" s="220"/>
      <c r="B33" s="465"/>
      <c r="C33" s="462"/>
      <c r="D33" s="38"/>
      <c r="E33" s="38"/>
      <c r="F33" s="36">
        <f t="shared" si="3"/>
        <v>0</v>
      </c>
      <c r="G33" s="38"/>
      <c r="H33" s="40">
        <f t="shared" si="4"/>
        <v>0</v>
      </c>
      <c r="I33" s="38"/>
      <c r="J33" s="222">
        <f t="shared" si="5"/>
        <v>0</v>
      </c>
      <c r="K33" s="33"/>
    </row>
    <row r="34" spans="1:11" ht="12.75" customHeight="1">
      <c r="A34" s="223"/>
      <c r="B34" s="25"/>
      <c r="C34" s="462"/>
      <c r="D34" s="38"/>
      <c r="E34" s="38"/>
      <c r="F34" s="36">
        <f t="shared" si="3"/>
        <v>0</v>
      </c>
      <c r="G34" s="38"/>
      <c r="H34" s="40">
        <f t="shared" si="4"/>
        <v>0</v>
      </c>
      <c r="I34" s="38"/>
      <c r="J34" s="222">
        <f t="shared" si="5"/>
        <v>0</v>
      </c>
      <c r="K34" s="33"/>
    </row>
    <row r="35" spans="1:11" ht="12.75" customHeight="1">
      <c r="A35" s="223"/>
      <c r="B35" s="110"/>
      <c r="C35" s="460"/>
      <c r="D35" s="104"/>
      <c r="E35" s="41"/>
      <c r="F35" s="40">
        <f>SUM(D35:E35)</f>
        <v>0</v>
      </c>
      <c r="G35" s="41"/>
      <c r="H35" s="40">
        <f t="shared" si="4"/>
        <v>0</v>
      </c>
      <c r="I35" s="41"/>
      <c r="J35" s="222">
        <f t="shared" si="5"/>
        <v>0</v>
      </c>
      <c r="K35" s="33"/>
    </row>
    <row r="36" spans="1:10" s="126" customFormat="1" ht="12.75">
      <c r="A36" s="224" t="s">
        <v>113</v>
      </c>
      <c r="B36" s="913" t="s">
        <v>333</v>
      </c>
      <c r="C36" s="914"/>
      <c r="D36" s="129">
        <f aca="true" t="shared" si="6" ref="D36:J36">SUM(D19:D35)</f>
        <v>529798.2350115774</v>
      </c>
      <c r="E36" s="129">
        <f t="shared" si="6"/>
        <v>298962.7</v>
      </c>
      <c r="F36" s="129">
        <f t="shared" si="6"/>
        <v>828760.9350115774</v>
      </c>
      <c r="G36" s="129">
        <f t="shared" si="6"/>
        <v>0</v>
      </c>
      <c r="H36" s="129">
        <f t="shared" si="6"/>
        <v>828760.9350115774</v>
      </c>
      <c r="I36" s="129">
        <f t="shared" si="6"/>
        <v>0</v>
      </c>
      <c r="J36" s="225">
        <f t="shared" si="6"/>
        <v>828760.9350115774</v>
      </c>
    </row>
    <row r="37" spans="1:10" ht="25.5" customHeight="1" thickBot="1">
      <c r="A37" s="257" t="s">
        <v>102</v>
      </c>
      <c r="B37" s="922" t="s">
        <v>344</v>
      </c>
      <c r="C37" s="923"/>
      <c r="D37" s="327">
        <f>D36+'P5 Form A-3 - Mental Health'!D45</f>
        <v>58636694.1150804</v>
      </c>
      <c r="E37" s="327">
        <f>E36+'P5 Form A-3 - Mental Health'!E45</f>
        <v>41521748.34</v>
      </c>
      <c r="F37" s="327">
        <f>F36+'P5 Form A-3 - Mental Health'!F45</f>
        <v>100158442.45508042</v>
      </c>
      <c r="G37" s="327">
        <f>G36+'P5 Form A-3 - Mental Health'!G45</f>
        <v>0</v>
      </c>
      <c r="H37" s="327">
        <f>H36+'P5 Form A-3 - Mental Health'!H45</f>
        <v>100158442.45508042</v>
      </c>
      <c r="I37" s="327">
        <f>I36+'P5 Form A-3 - Mental Health'!I45</f>
        <v>0</v>
      </c>
      <c r="J37" s="328">
        <f>J36+'P5 Form A-3 - Mental Health'!J45</f>
        <v>100158442.45508042</v>
      </c>
    </row>
    <row r="38" spans="1:10" ht="13.5" thickBot="1" thickTop="1">
      <c r="A38" s="262"/>
      <c r="B38" s="263"/>
      <c r="C38" s="263"/>
      <c r="D38" s="264"/>
      <c r="E38" s="264"/>
      <c r="F38" s="265"/>
      <c r="G38" s="264"/>
      <c r="H38" s="265"/>
      <c r="I38" s="264"/>
      <c r="J38" s="266"/>
    </row>
    <row r="39" spans="1:10" ht="12.75">
      <c r="A39" s="134"/>
      <c r="B39" s="431"/>
      <c r="C39" s="431"/>
      <c r="D39" s="135"/>
      <c r="E39" s="135"/>
      <c r="F39" s="136"/>
      <c r="G39" s="135"/>
      <c r="H39" s="136"/>
      <c r="I39" s="135"/>
      <c r="J39" s="136"/>
    </row>
    <row r="54" s="126" customFormat="1" ht="12.75"/>
  </sheetData>
  <sheetProtection password="E1AE" sheet="1" formatColumns="0" formatRows="0"/>
  <mergeCells count="15">
    <mergeCell ref="A1:J1"/>
    <mergeCell ref="A2:J2"/>
    <mergeCell ref="A3:J3"/>
    <mergeCell ref="A4:J4"/>
    <mergeCell ref="E6:F6"/>
    <mergeCell ref="I6:J6"/>
    <mergeCell ref="B20:C20"/>
    <mergeCell ref="B36:C36"/>
    <mergeCell ref="B37:C37"/>
    <mergeCell ref="C8:H8"/>
    <mergeCell ref="A11:J11"/>
    <mergeCell ref="A14:C15"/>
    <mergeCell ref="B17:C17"/>
    <mergeCell ref="B18:C18"/>
    <mergeCell ref="B19:C19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&amp; Stauffer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 &amp; Stauffer</dc:creator>
  <cp:keywords/>
  <dc:description/>
  <cp:lastModifiedBy>Pniewski, Jason</cp:lastModifiedBy>
  <cp:lastPrinted>2021-01-05T00:55:28Z</cp:lastPrinted>
  <dcterms:created xsi:type="dcterms:W3CDTF">1999-03-01T21:20:18Z</dcterms:created>
  <dcterms:modified xsi:type="dcterms:W3CDTF">2021-01-06T17:10:17Z</dcterms:modified>
  <cp:category/>
  <cp:version/>
  <cp:contentType/>
  <cp:contentStatus/>
</cp:coreProperties>
</file>